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700" tabRatio="649"/>
  </bookViews>
  <sheets>
    <sheet name="Part_Int_No_Grp" sheetId="11" r:id="rId1"/>
    <sheet name="Part_Int_Mono_Grp" sheetId="16" r:id="rId2"/>
    <sheet name="Part_Int_Evident_Grp" sheetId="17" r:id="rId3"/>
    <sheet name="Part_Int_Opt_Grp" sheetId="18" r:id="rId4"/>
    <sheet name="Full_Int_No_Group" sheetId="13" r:id="rId5"/>
    <sheet name="Full_Int_Mono_Grp" sheetId="12" r:id="rId6"/>
    <sheet name="Full_Int_Evid Grp" sheetId="5" r:id="rId7"/>
    <sheet name="Full_Int_Opt_Grp" sheetId="6" r:id="rId8"/>
    <sheet name="FINAL RESULTS" sheetId="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2" l="1"/>
  <c r="C26" i="2"/>
  <c r="D26" i="2"/>
  <c r="E26" i="2"/>
  <c r="B27" i="2"/>
  <c r="C27" i="2"/>
  <c r="D27" i="2"/>
  <c r="E27" i="2"/>
  <c r="C25" i="2"/>
  <c r="D25" i="2"/>
  <c r="E25" i="2"/>
  <c r="B25" i="2"/>
  <c r="H20" i="18" l="1"/>
  <c r="K19" i="18"/>
  <c r="D27" i="18"/>
  <c r="K19" i="17"/>
  <c r="H20" i="17"/>
  <c r="D27" i="17"/>
  <c r="D27" i="16"/>
  <c r="K19" i="16"/>
  <c r="H20" i="16"/>
  <c r="S18" i="11"/>
  <c r="P20" i="11" l="1"/>
  <c r="AA22" i="11" l="1"/>
  <c r="Y22" i="11"/>
  <c r="Y5" i="11" l="1"/>
  <c r="Y6" i="11" s="1"/>
  <c r="Y7" i="11" s="1"/>
  <c r="Y8" i="11" s="1"/>
  <c r="Z5" i="11"/>
  <c r="Z6" i="11" s="1"/>
  <c r="Z7" i="11" s="1"/>
  <c r="Z8" i="11" s="1"/>
  <c r="AA5" i="11"/>
  <c r="AA6" i="11" s="1"/>
  <c r="AA7" i="11" s="1"/>
  <c r="AA8" i="11" s="1"/>
  <c r="X5" i="11"/>
  <c r="X6" i="11" s="1"/>
  <c r="X7" i="11" s="1"/>
  <c r="X8" i="11" s="1"/>
  <c r="D29" i="18"/>
  <c r="D28" i="18"/>
  <c r="D29" i="17"/>
  <c r="D28" i="17"/>
  <c r="D29" i="16"/>
  <c r="D28" i="16"/>
  <c r="D29" i="11" l="1"/>
  <c r="D28" i="11"/>
  <c r="D27" i="11"/>
  <c r="D15" i="2" l="1"/>
  <c r="C15" i="2"/>
  <c r="D20" i="2" l="1"/>
  <c r="F20" i="2"/>
  <c r="G20" i="2"/>
  <c r="E20" i="2"/>
  <c r="AB12" i="16"/>
  <c r="P18" i="18"/>
  <c r="D30" i="18"/>
  <c r="P21" i="18"/>
  <c r="P20" i="18"/>
  <c r="P19" i="18"/>
  <c r="S18" i="18"/>
  <c r="P22" i="18"/>
  <c r="E15" i="18"/>
  <c r="E14" i="18"/>
  <c r="E13" i="18"/>
  <c r="Y12" i="18"/>
  <c r="V12" i="18"/>
  <c r="T12" i="18"/>
  <c r="Q12" i="18"/>
  <c r="L12" i="18"/>
  <c r="O12" i="18" s="1"/>
  <c r="G12" i="18"/>
  <c r="J12" i="18" s="1"/>
  <c r="E12" i="18"/>
  <c r="AC12" i="18" s="1"/>
  <c r="T7" i="18"/>
  <c r="T6" i="18"/>
  <c r="T5" i="18"/>
  <c r="T4" i="18"/>
  <c r="P21" i="17"/>
  <c r="P22" i="17" s="1"/>
  <c r="P18" i="17"/>
  <c r="D30" i="17"/>
  <c r="P20" i="17"/>
  <c r="P19" i="17"/>
  <c r="S18" i="17"/>
  <c r="E15" i="17"/>
  <c r="E14" i="17"/>
  <c r="Y13" i="17"/>
  <c r="X13" i="17"/>
  <c r="Q13" i="17"/>
  <c r="R13" i="17" s="1"/>
  <c r="S13" i="17" s="1"/>
  <c r="H13" i="17"/>
  <c r="G14" i="17" s="1"/>
  <c r="J14" i="17" s="1"/>
  <c r="E13" i="17"/>
  <c r="AC12" i="17"/>
  <c r="C19" i="17" s="1"/>
  <c r="Y12" i="17"/>
  <c r="V12" i="17"/>
  <c r="W12" i="17" s="1"/>
  <c r="V13" i="17" s="1"/>
  <c r="W13" i="17" s="1"/>
  <c r="V14" i="17" s="1"/>
  <c r="W14" i="17" s="1"/>
  <c r="V15" i="17" s="1"/>
  <c r="T12" i="17"/>
  <c r="U12" i="17" s="1"/>
  <c r="Q12" i="17"/>
  <c r="R12" i="17" s="1"/>
  <c r="S12" i="17" s="1"/>
  <c r="L12" i="17"/>
  <c r="O12" i="17" s="1"/>
  <c r="J12" i="17"/>
  <c r="H12" i="17"/>
  <c r="G13" i="17" s="1"/>
  <c r="J13" i="17" s="1"/>
  <c r="G12" i="17"/>
  <c r="E12" i="17"/>
  <c r="T7" i="17"/>
  <c r="T6" i="17"/>
  <c r="T5" i="17"/>
  <c r="T4" i="17"/>
  <c r="P19" i="11"/>
  <c r="P21" i="16"/>
  <c r="P20" i="16"/>
  <c r="P19" i="16"/>
  <c r="P18" i="16"/>
  <c r="D30" i="16"/>
  <c r="S18" i="16"/>
  <c r="E15" i="16"/>
  <c r="E14" i="16"/>
  <c r="E13" i="16"/>
  <c r="W12" i="16"/>
  <c r="V13" i="16" s="1"/>
  <c r="V12" i="16"/>
  <c r="Y12" i="16" s="1"/>
  <c r="Q12" i="16"/>
  <c r="T12" i="16" s="1"/>
  <c r="O12" i="16"/>
  <c r="L12" i="16"/>
  <c r="G12" i="16"/>
  <c r="J12" i="16" s="1"/>
  <c r="E12" i="16"/>
  <c r="R12" i="16" s="1"/>
  <c r="T7" i="16"/>
  <c r="T6" i="16"/>
  <c r="T5" i="16"/>
  <c r="T4" i="16"/>
  <c r="D30" i="11"/>
  <c r="R12" i="18" l="1"/>
  <c r="H12" i="18"/>
  <c r="G13" i="18" s="1"/>
  <c r="H13" i="18" s="1"/>
  <c r="W12" i="18"/>
  <c r="X14" i="17"/>
  <c r="V13" i="18"/>
  <c r="X12" i="18"/>
  <c r="Z12" i="18" s="1"/>
  <c r="C19" i="18"/>
  <c r="C18" i="18"/>
  <c r="S12" i="18"/>
  <c r="U12" i="18" s="1"/>
  <c r="Q13" i="18"/>
  <c r="AC13" i="18"/>
  <c r="M12" i="18"/>
  <c r="K13" i="17"/>
  <c r="M12" i="17"/>
  <c r="I13" i="17"/>
  <c r="Z13" i="17"/>
  <c r="H14" i="17"/>
  <c r="I12" i="17"/>
  <c r="K12" i="17" s="1"/>
  <c r="W15" i="17"/>
  <c r="X15" i="17" s="1"/>
  <c r="Y15" i="17"/>
  <c r="T13" i="17"/>
  <c r="U13" i="17" s="1"/>
  <c r="Q14" i="17"/>
  <c r="Y14" i="17"/>
  <c r="X12" i="17"/>
  <c r="Z12" i="17" s="1"/>
  <c r="AC13" i="17"/>
  <c r="C18" i="17"/>
  <c r="P22" i="16"/>
  <c r="Q13" i="16"/>
  <c r="S12" i="16"/>
  <c r="U12" i="16" s="1"/>
  <c r="Z12" i="16"/>
  <c r="Y13" i="16"/>
  <c r="W13" i="16"/>
  <c r="AC13" i="16"/>
  <c r="H12" i="16"/>
  <c r="X12" i="16"/>
  <c r="M12" i="16"/>
  <c r="AC12" i="16"/>
  <c r="V6" i="2"/>
  <c r="V5" i="2"/>
  <c r="J13" i="18" l="1"/>
  <c r="I12" i="18"/>
  <c r="K12" i="18" s="1"/>
  <c r="Z15" i="17"/>
  <c r="Z14" i="17"/>
  <c r="AA12" i="18"/>
  <c r="W13" i="18"/>
  <c r="Y13" i="18"/>
  <c r="G14" i="18"/>
  <c r="I13" i="18"/>
  <c r="K13" i="18" s="1"/>
  <c r="F20" i="18"/>
  <c r="F19" i="18"/>
  <c r="F18" i="18"/>
  <c r="AC14" i="18"/>
  <c r="N12" i="18"/>
  <c r="P12" i="18" s="1"/>
  <c r="L13" i="18"/>
  <c r="T13" i="18"/>
  <c r="R13" i="18"/>
  <c r="G15" i="17"/>
  <c r="I14" i="17"/>
  <c r="K14" i="17" s="1"/>
  <c r="F20" i="17"/>
  <c r="F19" i="17"/>
  <c r="F18" i="17"/>
  <c r="AC14" i="17"/>
  <c r="R14" i="17"/>
  <c r="T14" i="17"/>
  <c r="N12" i="17"/>
  <c r="P12" i="17" s="1"/>
  <c r="AA12" i="17" s="1"/>
  <c r="L13" i="17"/>
  <c r="I12" i="16"/>
  <c r="K12" i="16" s="1"/>
  <c r="G13" i="16"/>
  <c r="V14" i="16"/>
  <c r="X13" i="16"/>
  <c r="Z13" i="16" s="1"/>
  <c r="R13" i="16"/>
  <c r="T13" i="16"/>
  <c r="F20" i="16"/>
  <c r="F19" i="16"/>
  <c r="F18" i="16"/>
  <c r="AC14" i="16"/>
  <c r="C18" i="16"/>
  <c r="C19" i="16"/>
  <c r="N12" i="16"/>
  <c r="P12" i="16" s="1"/>
  <c r="L13" i="16"/>
  <c r="H411" i="6"/>
  <c r="P897" i="6"/>
  <c r="P896" i="6"/>
  <c r="P895" i="6"/>
  <c r="P859" i="6"/>
  <c r="P858" i="6"/>
  <c r="P857" i="6"/>
  <c r="P821" i="6"/>
  <c r="P820" i="6"/>
  <c r="P823" i="6" s="1"/>
  <c r="P819" i="6"/>
  <c r="P783" i="6"/>
  <c r="P782" i="6"/>
  <c r="P781" i="6"/>
  <c r="P745" i="6"/>
  <c r="P744" i="6"/>
  <c r="P747" i="6" s="1"/>
  <c r="P743" i="6"/>
  <c r="P707" i="6"/>
  <c r="P706" i="6"/>
  <c r="P705" i="6"/>
  <c r="P669" i="6"/>
  <c r="P668" i="6"/>
  <c r="P667" i="6"/>
  <c r="P631" i="6"/>
  <c r="P630" i="6"/>
  <c r="P629" i="6"/>
  <c r="P593" i="6"/>
  <c r="P592" i="6"/>
  <c r="P591" i="6"/>
  <c r="P555" i="6"/>
  <c r="P554" i="6"/>
  <c r="P553" i="6"/>
  <c r="P517" i="6"/>
  <c r="P516" i="6"/>
  <c r="P515" i="6"/>
  <c r="P479" i="6"/>
  <c r="P478" i="6"/>
  <c r="P477" i="6"/>
  <c r="P481" i="6" s="1"/>
  <c r="P441" i="6"/>
  <c r="P440" i="6"/>
  <c r="P439" i="6"/>
  <c r="P403" i="6"/>
  <c r="P402" i="6"/>
  <c r="P401" i="6"/>
  <c r="P365" i="6"/>
  <c r="P364" i="6"/>
  <c r="P363" i="6"/>
  <c r="P327" i="6"/>
  <c r="P326" i="6"/>
  <c r="P325" i="6"/>
  <c r="P289" i="6"/>
  <c r="P288" i="6"/>
  <c r="P287" i="6"/>
  <c r="P250" i="6"/>
  <c r="P249" i="6"/>
  <c r="P248" i="6"/>
  <c r="P212" i="6"/>
  <c r="P211" i="6"/>
  <c r="P210" i="6"/>
  <c r="P214" i="6" s="1"/>
  <c r="P174" i="6"/>
  <c r="P173" i="6"/>
  <c r="P172" i="6"/>
  <c r="P136" i="6"/>
  <c r="P135" i="6"/>
  <c r="P134" i="6"/>
  <c r="P98" i="6"/>
  <c r="P97" i="6"/>
  <c r="P96" i="6"/>
  <c r="P60" i="6"/>
  <c r="P59" i="6"/>
  <c r="P58" i="6"/>
  <c r="P62" i="6" s="1"/>
  <c r="P20" i="6"/>
  <c r="E892" i="6"/>
  <c r="E891" i="6"/>
  <c r="E890" i="6"/>
  <c r="W889" i="6"/>
  <c r="V889" i="6"/>
  <c r="Y889" i="6" s="1"/>
  <c r="Q889" i="6"/>
  <c r="R889" i="6" s="1"/>
  <c r="Q890" i="6" s="1"/>
  <c r="O889" i="6"/>
  <c r="L889" i="6"/>
  <c r="G889" i="6"/>
  <c r="E889" i="6"/>
  <c r="AC889" i="6" s="1"/>
  <c r="T884" i="6"/>
  <c r="T883" i="6"/>
  <c r="T882" i="6"/>
  <c r="T881" i="6"/>
  <c r="P861" i="6"/>
  <c r="E854" i="6"/>
  <c r="E853" i="6"/>
  <c r="E852" i="6"/>
  <c r="AC852" i="6" s="1"/>
  <c r="V851" i="6"/>
  <c r="W851" i="6" s="1"/>
  <c r="V852" i="6" s="1"/>
  <c r="T851" i="6"/>
  <c r="Q851" i="6"/>
  <c r="R851" i="6" s="1"/>
  <c r="L851" i="6"/>
  <c r="H851" i="6"/>
  <c r="G851" i="6"/>
  <c r="J851" i="6" s="1"/>
  <c r="E851" i="6"/>
  <c r="AC851" i="6" s="1"/>
  <c r="T846" i="6"/>
  <c r="T845" i="6"/>
  <c r="T844" i="6"/>
  <c r="T843" i="6"/>
  <c r="E816" i="6"/>
  <c r="E815" i="6"/>
  <c r="Y814" i="6"/>
  <c r="Z814" i="6" s="1"/>
  <c r="X814" i="6"/>
  <c r="Q814" i="6"/>
  <c r="E814" i="6"/>
  <c r="AC813" i="6"/>
  <c r="Y813" i="6"/>
  <c r="V813" i="6"/>
  <c r="W813" i="6" s="1"/>
  <c r="V814" i="6" s="1"/>
  <c r="W814" i="6" s="1"/>
  <c r="V815" i="6" s="1"/>
  <c r="W815" i="6" s="1"/>
  <c r="V816" i="6" s="1"/>
  <c r="W816" i="6" s="1"/>
  <c r="X816" i="6" s="1"/>
  <c r="U813" i="6"/>
  <c r="T813" i="6"/>
  <c r="Q813" i="6"/>
  <c r="R813" i="6" s="1"/>
  <c r="S813" i="6" s="1"/>
  <c r="M813" i="6"/>
  <c r="L813" i="6"/>
  <c r="O813" i="6" s="1"/>
  <c r="J813" i="6"/>
  <c r="H813" i="6"/>
  <c r="G813" i="6"/>
  <c r="E813" i="6"/>
  <c r="T808" i="6"/>
  <c r="T807" i="6"/>
  <c r="T806" i="6"/>
  <c r="T805" i="6"/>
  <c r="C790" i="6"/>
  <c r="D790" i="6" s="1"/>
  <c r="P785" i="6"/>
  <c r="E778" i="6"/>
  <c r="E777" i="6"/>
  <c r="AC776" i="6"/>
  <c r="E776" i="6"/>
  <c r="AC775" i="6"/>
  <c r="Y775" i="6"/>
  <c r="V775" i="6"/>
  <c r="W775" i="6" s="1"/>
  <c r="Q775" i="6"/>
  <c r="M775" i="6"/>
  <c r="L775" i="6"/>
  <c r="O775" i="6" s="1"/>
  <c r="J775" i="6"/>
  <c r="K775" i="6" s="1"/>
  <c r="I775" i="6"/>
  <c r="H775" i="6"/>
  <c r="G776" i="6" s="1"/>
  <c r="G775" i="6"/>
  <c r="E775" i="6"/>
  <c r="T770" i="6"/>
  <c r="T769" i="6"/>
  <c r="T768" i="6"/>
  <c r="T767" i="6"/>
  <c r="E740" i="6"/>
  <c r="E739" i="6"/>
  <c r="E738" i="6"/>
  <c r="Y737" i="6"/>
  <c r="V737" i="6"/>
  <c r="Q737" i="6"/>
  <c r="T737" i="6" s="1"/>
  <c r="L737" i="6"/>
  <c r="O737" i="6" s="1"/>
  <c r="J737" i="6"/>
  <c r="G737" i="6"/>
  <c r="E737" i="6"/>
  <c r="T732" i="6"/>
  <c r="T731" i="6"/>
  <c r="T730" i="6"/>
  <c r="T729" i="6"/>
  <c r="P709" i="6"/>
  <c r="C705" i="6"/>
  <c r="E702" i="6"/>
  <c r="E701" i="6"/>
  <c r="E700" i="6"/>
  <c r="Z699" i="6"/>
  <c r="W699" i="6"/>
  <c r="X699" i="6" s="1"/>
  <c r="V699" i="6"/>
  <c r="Y699" i="6" s="1"/>
  <c r="R699" i="6"/>
  <c r="Q699" i="6"/>
  <c r="T699" i="6" s="1"/>
  <c r="O699" i="6"/>
  <c r="M699" i="6"/>
  <c r="L699" i="6"/>
  <c r="I699" i="6"/>
  <c r="G699" i="6"/>
  <c r="H699" i="6" s="1"/>
  <c r="G700" i="6" s="1"/>
  <c r="E699" i="6"/>
  <c r="AC699" i="6" s="1"/>
  <c r="C706" i="6" s="1"/>
  <c r="T694" i="6"/>
  <c r="T693" i="6"/>
  <c r="T692" i="6"/>
  <c r="T691" i="6"/>
  <c r="C677" i="6"/>
  <c r="D677" i="6" s="1"/>
  <c r="P671" i="6"/>
  <c r="E664" i="6"/>
  <c r="E663" i="6"/>
  <c r="E662" i="6"/>
  <c r="AC661" i="6"/>
  <c r="C676" i="6" s="1"/>
  <c r="D676" i="6" s="1"/>
  <c r="D678" i="6" s="1"/>
  <c r="Y661" i="6"/>
  <c r="V661" i="6"/>
  <c r="Q661" i="6"/>
  <c r="M661" i="6"/>
  <c r="L661" i="6"/>
  <c r="O661" i="6" s="1"/>
  <c r="I661" i="6"/>
  <c r="H661" i="6"/>
  <c r="G662" i="6" s="1"/>
  <c r="G661" i="6"/>
  <c r="J661" i="6" s="1"/>
  <c r="E661" i="6"/>
  <c r="W661" i="6" s="1"/>
  <c r="T656" i="6"/>
  <c r="T655" i="6"/>
  <c r="T654" i="6"/>
  <c r="T653" i="6"/>
  <c r="G640" i="6"/>
  <c r="H640" i="6" s="1"/>
  <c r="P633" i="6"/>
  <c r="E626" i="6"/>
  <c r="E625" i="6"/>
  <c r="AC625" i="6" s="1"/>
  <c r="E624" i="6"/>
  <c r="AC624" i="6" s="1"/>
  <c r="AC623" i="6"/>
  <c r="V623" i="6"/>
  <c r="Q623" i="6"/>
  <c r="T623" i="6" s="1"/>
  <c r="N623" i="6"/>
  <c r="M623" i="6"/>
  <c r="L624" i="6" s="1"/>
  <c r="L623" i="6"/>
  <c r="O623" i="6" s="1"/>
  <c r="J623" i="6"/>
  <c r="I623" i="6"/>
  <c r="G623" i="6"/>
  <c r="H623" i="6" s="1"/>
  <c r="G624" i="6" s="1"/>
  <c r="E623" i="6"/>
  <c r="R623" i="6" s="1"/>
  <c r="T618" i="6"/>
  <c r="T617" i="6"/>
  <c r="T616" i="6"/>
  <c r="T615" i="6"/>
  <c r="P595" i="6"/>
  <c r="E588" i="6"/>
  <c r="E587" i="6"/>
  <c r="E586" i="6"/>
  <c r="W585" i="6"/>
  <c r="V585" i="6"/>
  <c r="Y585" i="6" s="1"/>
  <c r="T585" i="6"/>
  <c r="Q585" i="6"/>
  <c r="L585" i="6"/>
  <c r="M585" i="6" s="1"/>
  <c r="K585" i="6"/>
  <c r="H585" i="6"/>
  <c r="I585" i="6" s="1"/>
  <c r="G585" i="6"/>
  <c r="J585" i="6" s="1"/>
  <c r="E585" i="6"/>
  <c r="R585" i="6" s="1"/>
  <c r="Q586" i="6" s="1"/>
  <c r="T580" i="6"/>
  <c r="T579" i="6"/>
  <c r="T578" i="6"/>
  <c r="T577" i="6"/>
  <c r="C563" i="6"/>
  <c r="D563" i="6" s="1"/>
  <c r="C562" i="6"/>
  <c r="D562" i="6" s="1"/>
  <c r="D564" i="6" s="1"/>
  <c r="F553" i="6"/>
  <c r="E550" i="6"/>
  <c r="E549" i="6"/>
  <c r="AC548" i="6"/>
  <c r="H548" i="6"/>
  <c r="G549" i="6" s="1"/>
  <c r="J549" i="6" s="1"/>
  <c r="E548" i="6"/>
  <c r="AC547" i="6"/>
  <c r="Y547" i="6"/>
  <c r="X547" i="6"/>
  <c r="W547" i="6"/>
  <c r="V548" i="6" s="1"/>
  <c r="W548" i="6" s="1"/>
  <c r="V549" i="6" s="1"/>
  <c r="W549" i="6" s="1"/>
  <c r="V550" i="6" s="1"/>
  <c r="W550" i="6" s="1"/>
  <c r="X550" i="6" s="1"/>
  <c r="V547" i="6"/>
  <c r="T547" i="6"/>
  <c r="U547" i="6" s="1"/>
  <c r="Q547" i="6"/>
  <c r="R547" i="6" s="1"/>
  <c r="S547" i="6" s="1"/>
  <c r="L547" i="6"/>
  <c r="I547" i="6"/>
  <c r="H547" i="6"/>
  <c r="G548" i="6" s="1"/>
  <c r="J548" i="6" s="1"/>
  <c r="G547" i="6"/>
  <c r="J547" i="6" s="1"/>
  <c r="E547" i="6"/>
  <c r="T542" i="6"/>
  <c r="T541" i="6"/>
  <c r="T540" i="6"/>
  <c r="T539" i="6"/>
  <c r="P519" i="6"/>
  <c r="E512" i="6"/>
  <c r="E511" i="6"/>
  <c r="E510" i="6"/>
  <c r="AC509" i="6"/>
  <c r="V509" i="6"/>
  <c r="Q509" i="6"/>
  <c r="T509" i="6" s="1"/>
  <c r="M509" i="6"/>
  <c r="L509" i="6"/>
  <c r="O509" i="6" s="1"/>
  <c r="J509" i="6"/>
  <c r="G509" i="6"/>
  <c r="E509" i="6"/>
  <c r="H509" i="6" s="1"/>
  <c r="G510" i="6" s="1"/>
  <c r="H510" i="6" s="1"/>
  <c r="G511" i="6" s="1"/>
  <c r="H511" i="6" s="1"/>
  <c r="G512" i="6" s="1"/>
  <c r="H512" i="6" s="1"/>
  <c r="I512" i="6" s="1"/>
  <c r="T504" i="6"/>
  <c r="T503" i="6"/>
  <c r="T502" i="6"/>
  <c r="T501" i="6"/>
  <c r="E474" i="6"/>
  <c r="E473" i="6"/>
  <c r="E472" i="6"/>
  <c r="W471" i="6"/>
  <c r="V471" i="6"/>
  <c r="Y471" i="6" s="1"/>
  <c r="T471" i="6"/>
  <c r="S471" i="6"/>
  <c r="Q471" i="6"/>
  <c r="O471" i="6"/>
  <c r="L471" i="6"/>
  <c r="M471" i="6" s="1"/>
  <c r="G471" i="6"/>
  <c r="E471" i="6"/>
  <c r="R471" i="6" s="1"/>
  <c r="Q472" i="6" s="1"/>
  <c r="T466" i="6"/>
  <c r="T465" i="6"/>
  <c r="T464" i="6"/>
  <c r="T463" i="6"/>
  <c r="P443" i="6"/>
  <c r="E436" i="6"/>
  <c r="E435" i="6"/>
  <c r="E434" i="6"/>
  <c r="X433" i="6"/>
  <c r="W433" i="6"/>
  <c r="V434" i="6" s="1"/>
  <c r="V433" i="6"/>
  <c r="Y433" i="6" s="1"/>
  <c r="T433" i="6"/>
  <c r="Q433" i="6"/>
  <c r="R433" i="6" s="1"/>
  <c r="L433" i="6"/>
  <c r="H433" i="6"/>
  <c r="G433" i="6"/>
  <c r="J433" i="6" s="1"/>
  <c r="E433" i="6"/>
  <c r="AC433" i="6" s="1"/>
  <c r="T428" i="6"/>
  <c r="T427" i="6"/>
  <c r="T426" i="6"/>
  <c r="T425" i="6"/>
  <c r="C411" i="6"/>
  <c r="D411" i="6" s="1"/>
  <c r="C410" i="6"/>
  <c r="D410" i="6" s="1"/>
  <c r="D412" i="6" s="1"/>
  <c r="P405" i="6"/>
  <c r="E398" i="6"/>
  <c r="E397" i="6"/>
  <c r="AC396" i="6"/>
  <c r="F402" i="6" s="1"/>
  <c r="Q396" i="6"/>
  <c r="I396" i="6"/>
  <c r="H396" i="6"/>
  <c r="G397" i="6" s="1"/>
  <c r="E396" i="6"/>
  <c r="AC395" i="6"/>
  <c r="Y395" i="6"/>
  <c r="V395" i="6"/>
  <c r="U395" i="6"/>
  <c r="T395" i="6"/>
  <c r="Q395" i="6"/>
  <c r="R395" i="6" s="1"/>
  <c r="S395" i="6" s="1"/>
  <c r="M395" i="6"/>
  <c r="L395" i="6"/>
  <c r="O395" i="6" s="1"/>
  <c r="I395" i="6"/>
  <c r="H395" i="6"/>
  <c r="G396" i="6" s="1"/>
  <c r="J396" i="6" s="1"/>
  <c r="G395" i="6"/>
  <c r="J395" i="6" s="1"/>
  <c r="K395" i="6" s="1"/>
  <c r="E395" i="6"/>
  <c r="W395" i="6" s="1"/>
  <c r="V396" i="6" s="1"/>
  <c r="W396" i="6" s="1"/>
  <c r="T390" i="6"/>
  <c r="T389" i="6"/>
  <c r="T388" i="6"/>
  <c r="T387" i="6"/>
  <c r="P367" i="6"/>
  <c r="E360" i="6"/>
  <c r="E359" i="6"/>
  <c r="E358" i="6"/>
  <c r="AC358" i="6" s="1"/>
  <c r="AC357" i="6"/>
  <c r="C373" i="6" s="1"/>
  <c r="D373" i="6" s="1"/>
  <c r="V357" i="6"/>
  <c r="Q357" i="6"/>
  <c r="T357" i="6" s="1"/>
  <c r="N357" i="6"/>
  <c r="M357" i="6"/>
  <c r="L358" i="6" s="1"/>
  <c r="O358" i="6" s="1"/>
  <c r="L357" i="6"/>
  <c r="O357" i="6" s="1"/>
  <c r="J357" i="6"/>
  <c r="I357" i="6"/>
  <c r="G357" i="6"/>
  <c r="H357" i="6" s="1"/>
  <c r="G358" i="6" s="1"/>
  <c r="J358" i="6" s="1"/>
  <c r="E357" i="6"/>
  <c r="R357" i="6" s="1"/>
  <c r="T352" i="6"/>
  <c r="T351" i="6"/>
  <c r="T350" i="6"/>
  <c r="T349" i="6"/>
  <c r="P329" i="6"/>
  <c r="E322" i="6"/>
  <c r="E321" i="6"/>
  <c r="E320" i="6"/>
  <c r="X319" i="6"/>
  <c r="W319" i="6"/>
  <c r="V320" i="6" s="1"/>
  <c r="V319" i="6"/>
  <c r="Y319" i="6" s="1"/>
  <c r="Z319" i="6" s="1"/>
  <c r="T319" i="6"/>
  <c r="Q319" i="6"/>
  <c r="L319" i="6"/>
  <c r="H319" i="6"/>
  <c r="G319" i="6"/>
  <c r="J319" i="6" s="1"/>
  <c r="E319" i="6"/>
  <c r="R319" i="6" s="1"/>
  <c r="T314" i="6"/>
  <c r="T313" i="6"/>
  <c r="T312" i="6"/>
  <c r="T311" i="6"/>
  <c r="C296" i="6"/>
  <c r="D296" i="6" s="1"/>
  <c r="E284" i="6"/>
  <c r="E283" i="6"/>
  <c r="AC282" i="6"/>
  <c r="Y282" i="6"/>
  <c r="E282" i="6"/>
  <c r="AC281" i="6"/>
  <c r="Y281" i="6"/>
  <c r="Z281" i="6" s="1"/>
  <c r="X281" i="6"/>
  <c r="W281" i="6"/>
  <c r="V282" i="6" s="1"/>
  <c r="W282" i="6" s="1"/>
  <c r="V281" i="6"/>
  <c r="Q281" i="6"/>
  <c r="M281" i="6"/>
  <c r="L281" i="6"/>
  <c r="O281" i="6" s="1"/>
  <c r="I281" i="6"/>
  <c r="H281" i="6"/>
  <c r="G282" i="6" s="1"/>
  <c r="G281" i="6"/>
  <c r="J281" i="6" s="1"/>
  <c r="E281" i="6"/>
  <c r="T276" i="6"/>
  <c r="T275" i="6"/>
  <c r="T274" i="6"/>
  <c r="T273" i="6"/>
  <c r="P252" i="6"/>
  <c r="E245" i="6"/>
  <c r="E244" i="6"/>
  <c r="E243" i="6"/>
  <c r="V242" i="6"/>
  <c r="R242" i="6"/>
  <c r="Q242" i="6"/>
  <c r="T242" i="6" s="1"/>
  <c r="L242" i="6"/>
  <c r="O242" i="6" s="1"/>
  <c r="J242" i="6"/>
  <c r="G242" i="6"/>
  <c r="E242" i="6"/>
  <c r="T237" i="6"/>
  <c r="T236" i="6"/>
  <c r="T235" i="6"/>
  <c r="T234" i="6"/>
  <c r="E207" i="6"/>
  <c r="E206" i="6"/>
  <c r="E205" i="6"/>
  <c r="W204" i="6"/>
  <c r="V204" i="6"/>
  <c r="Y204" i="6" s="1"/>
  <c r="S204" i="6"/>
  <c r="Q204" i="6"/>
  <c r="T204" i="6" s="1"/>
  <c r="O204" i="6"/>
  <c r="L204" i="6"/>
  <c r="M204" i="6" s="1"/>
  <c r="G204" i="6"/>
  <c r="E204" i="6"/>
  <c r="R204" i="6" s="1"/>
  <c r="Q205" i="6" s="1"/>
  <c r="T199" i="6"/>
  <c r="T198" i="6"/>
  <c r="T197" i="6"/>
  <c r="T196" i="6"/>
  <c r="P176" i="6"/>
  <c r="E169" i="6"/>
  <c r="E168" i="6"/>
  <c r="E167" i="6"/>
  <c r="Y166" i="6"/>
  <c r="Z166" i="6" s="1"/>
  <c r="X166" i="6"/>
  <c r="W166" i="6"/>
  <c r="V167" i="6" s="1"/>
  <c r="V166" i="6"/>
  <c r="T166" i="6"/>
  <c r="Q166" i="6"/>
  <c r="R166" i="6" s="1"/>
  <c r="L166" i="6"/>
  <c r="H166" i="6"/>
  <c r="G166" i="6"/>
  <c r="J166" i="6" s="1"/>
  <c r="E166" i="6"/>
  <c r="AC166" i="6" s="1"/>
  <c r="T161" i="6"/>
  <c r="T160" i="6"/>
  <c r="T159" i="6"/>
  <c r="T158" i="6"/>
  <c r="E131" i="6"/>
  <c r="E130" i="6"/>
  <c r="AC129" i="6"/>
  <c r="E129" i="6"/>
  <c r="AC128" i="6"/>
  <c r="C143" i="6" s="1"/>
  <c r="D143" i="6" s="1"/>
  <c r="Y128" i="6"/>
  <c r="X128" i="6"/>
  <c r="V128" i="6"/>
  <c r="W128" i="6" s="1"/>
  <c r="V129" i="6" s="1"/>
  <c r="W129" i="6" s="1"/>
  <c r="V130" i="6" s="1"/>
  <c r="W130" i="6" s="1"/>
  <c r="V131" i="6" s="1"/>
  <c r="W131" i="6" s="1"/>
  <c r="X131" i="6" s="1"/>
  <c r="Q128" i="6"/>
  <c r="R128" i="6" s="1"/>
  <c r="S128" i="6" s="1"/>
  <c r="L128" i="6"/>
  <c r="O128" i="6" s="1"/>
  <c r="I128" i="6"/>
  <c r="H128" i="6"/>
  <c r="G129" i="6" s="1"/>
  <c r="J129" i="6" s="1"/>
  <c r="G128" i="6"/>
  <c r="J128" i="6" s="1"/>
  <c r="E128" i="6"/>
  <c r="T123" i="6"/>
  <c r="T122" i="6"/>
  <c r="T121" i="6"/>
  <c r="T120" i="6"/>
  <c r="P100" i="6"/>
  <c r="E93" i="6"/>
  <c r="E92" i="6"/>
  <c r="E91" i="6"/>
  <c r="V90" i="6"/>
  <c r="Y90" i="6" s="1"/>
  <c r="Q90" i="6"/>
  <c r="T90" i="6" s="1"/>
  <c r="O90" i="6"/>
  <c r="L90" i="6"/>
  <c r="J90" i="6"/>
  <c r="G90" i="6"/>
  <c r="H90" i="6" s="1"/>
  <c r="E90" i="6"/>
  <c r="AC90" i="6" s="1"/>
  <c r="T85" i="6"/>
  <c r="T84" i="6"/>
  <c r="T83" i="6"/>
  <c r="T82" i="6"/>
  <c r="E55" i="6"/>
  <c r="E54" i="6"/>
  <c r="E53" i="6"/>
  <c r="W52" i="6"/>
  <c r="V53" i="6" s="1"/>
  <c r="V52" i="6"/>
  <c r="Y52" i="6" s="1"/>
  <c r="Q52" i="6"/>
  <c r="T52" i="6" s="1"/>
  <c r="O52" i="6"/>
  <c r="L52" i="6"/>
  <c r="M52" i="6" s="1"/>
  <c r="G52" i="6"/>
  <c r="J52" i="6" s="1"/>
  <c r="E52" i="6"/>
  <c r="R52" i="6" s="1"/>
  <c r="T47" i="6"/>
  <c r="T46" i="6"/>
  <c r="T45" i="6"/>
  <c r="T44" i="6"/>
  <c r="P22" i="6"/>
  <c r="P21" i="6"/>
  <c r="P24" i="6"/>
  <c r="E17" i="6"/>
  <c r="E16" i="6"/>
  <c r="E15" i="6"/>
  <c r="AC15" i="6" s="1"/>
  <c r="X14" i="6"/>
  <c r="W14" i="6"/>
  <c r="V15" i="6" s="1"/>
  <c r="V14" i="6"/>
  <c r="Y14" i="6" s="1"/>
  <c r="Z14" i="6" s="1"/>
  <c r="T14" i="6"/>
  <c r="Q14" i="6"/>
  <c r="R14" i="6" s="1"/>
  <c r="L14" i="6"/>
  <c r="O14" i="6" s="1"/>
  <c r="H14" i="6"/>
  <c r="G15" i="6" s="1"/>
  <c r="G14" i="6"/>
  <c r="J14" i="6" s="1"/>
  <c r="E14" i="6"/>
  <c r="AC14" i="6" s="1"/>
  <c r="T9" i="6"/>
  <c r="T8" i="6"/>
  <c r="T7" i="6"/>
  <c r="T6" i="6"/>
  <c r="L602" i="5"/>
  <c r="L601" i="5"/>
  <c r="H602" i="5"/>
  <c r="H601" i="5"/>
  <c r="L563" i="5"/>
  <c r="H563" i="5"/>
  <c r="L527" i="5"/>
  <c r="L526" i="5"/>
  <c r="L489" i="5"/>
  <c r="L488" i="5"/>
  <c r="H449" i="5"/>
  <c r="L146" i="5"/>
  <c r="L144" i="5"/>
  <c r="H144" i="5"/>
  <c r="L106" i="5"/>
  <c r="H106" i="5"/>
  <c r="H69" i="5"/>
  <c r="H58" i="5"/>
  <c r="H59" i="5"/>
  <c r="H60" i="5"/>
  <c r="H31" i="5"/>
  <c r="P897" i="5"/>
  <c r="P896" i="5"/>
  <c r="P895" i="5"/>
  <c r="P859" i="5"/>
  <c r="P858" i="5"/>
  <c r="P857" i="5"/>
  <c r="P861" i="5" s="1"/>
  <c r="P821" i="5"/>
  <c r="P820" i="5"/>
  <c r="P819" i="5"/>
  <c r="P783" i="5"/>
  <c r="P782" i="5"/>
  <c r="P785" i="5" s="1"/>
  <c r="P781" i="5"/>
  <c r="P745" i="5"/>
  <c r="P744" i="5"/>
  <c r="P743" i="5"/>
  <c r="P707" i="5"/>
  <c r="P706" i="5"/>
  <c r="P709" i="5" s="1"/>
  <c r="P705" i="5"/>
  <c r="P669" i="5"/>
  <c r="P668" i="5"/>
  <c r="P671" i="5" s="1"/>
  <c r="P667" i="5"/>
  <c r="P631" i="5"/>
  <c r="P630" i="5"/>
  <c r="P633" i="5" s="1"/>
  <c r="P629" i="5"/>
  <c r="P593" i="5"/>
  <c r="P592" i="5"/>
  <c r="P591" i="5"/>
  <c r="P555" i="5"/>
  <c r="P554" i="5"/>
  <c r="P553" i="5"/>
  <c r="P517" i="5"/>
  <c r="P516" i="5"/>
  <c r="P515" i="5"/>
  <c r="P479" i="5"/>
  <c r="P478" i="5"/>
  <c r="P477" i="5"/>
  <c r="P441" i="5"/>
  <c r="P440" i="5"/>
  <c r="P439" i="5"/>
  <c r="P403" i="5"/>
  <c r="P402" i="5"/>
  <c r="P405" i="5" s="1"/>
  <c r="P401" i="5"/>
  <c r="P365" i="5"/>
  <c r="P364" i="5"/>
  <c r="P363" i="5"/>
  <c r="P327" i="5"/>
  <c r="P326" i="5"/>
  <c r="P325" i="5"/>
  <c r="P329" i="5" s="1"/>
  <c r="P289" i="5"/>
  <c r="P288" i="5"/>
  <c r="P287" i="5"/>
  <c r="P250" i="5"/>
  <c r="P249" i="5"/>
  <c r="P252" i="5" s="1"/>
  <c r="P248" i="5"/>
  <c r="P212" i="5"/>
  <c r="P211" i="5"/>
  <c r="P210" i="5"/>
  <c r="P214" i="5" s="1"/>
  <c r="P174" i="5"/>
  <c r="P173" i="5"/>
  <c r="P172" i="5"/>
  <c r="P136" i="5"/>
  <c r="P135" i="5"/>
  <c r="P134" i="5"/>
  <c r="P98" i="5"/>
  <c r="P97" i="5"/>
  <c r="P96" i="5"/>
  <c r="P60" i="5"/>
  <c r="P59" i="5"/>
  <c r="P58" i="5"/>
  <c r="P22" i="5"/>
  <c r="P20" i="5"/>
  <c r="P899" i="5"/>
  <c r="C895" i="5"/>
  <c r="E892" i="5"/>
  <c r="E891" i="5"/>
  <c r="E890" i="5"/>
  <c r="W889" i="5"/>
  <c r="V890" i="5" s="1"/>
  <c r="Y890" i="5" s="1"/>
  <c r="V889" i="5"/>
  <c r="Y889" i="5" s="1"/>
  <c r="T889" i="5"/>
  <c r="Q889" i="5"/>
  <c r="R889" i="5" s="1"/>
  <c r="Q890" i="5" s="1"/>
  <c r="R890" i="5" s="1"/>
  <c r="Q891" i="5" s="1"/>
  <c r="R891" i="5" s="1"/>
  <c r="Q892" i="5" s="1"/>
  <c r="R892" i="5" s="1"/>
  <c r="S892" i="5" s="1"/>
  <c r="O889" i="5"/>
  <c r="P889" i="5" s="1"/>
  <c r="L889" i="5"/>
  <c r="M889" i="5" s="1"/>
  <c r="N889" i="5" s="1"/>
  <c r="G889" i="5"/>
  <c r="E889" i="5"/>
  <c r="AC889" i="5" s="1"/>
  <c r="T884" i="5"/>
  <c r="T883" i="5"/>
  <c r="T882" i="5"/>
  <c r="T881" i="5"/>
  <c r="E854" i="5"/>
  <c r="E853" i="5"/>
  <c r="Y852" i="5"/>
  <c r="V852" i="5"/>
  <c r="E852" i="5"/>
  <c r="AC852" i="5" s="1"/>
  <c r="V851" i="5"/>
  <c r="W851" i="5" s="1"/>
  <c r="X851" i="5" s="1"/>
  <c r="Q851" i="5"/>
  <c r="L851" i="5"/>
  <c r="O851" i="5" s="1"/>
  <c r="J851" i="5"/>
  <c r="G851" i="5"/>
  <c r="E851" i="5"/>
  <c r="AC851" i="5" s="1"/>
  <c r="T846" i="5"/>
  <c r="T845" i="5"/>
  <c r="T844" i="5"/>
  <c r="T843" i="5"/>
  <c r="C820" i="5"/>
  <c r="P823" i="5"/>
  <c r="E816" i="5"/>
  <c r="E815" i="5"/>
  <c r="E814" i="5"/>
  <c r="AC814" i="5" s="1"/>
  <c r="V813" i="5"/>
  <c r="Q813" i="5"/>
  <c r="T813" i="5" s="1"/>
  <c r="L813" i="5"/>
  <c r="G813" i="5"/>
  <c r="J813" i="5" s="1"/>
  <c r="E813" i="5"/>
  <c r="AC813" i="5" s="1"/>
  <c r="C829" i="5" s="1"/>
  <c r="D829" i="5" s="1"/>
  <c r="T808" i="5"/>
  <c r="T807" i="5"/>
  <c r="T806" i="5"/>
  <c r="T805" i="5"/>
  <c r="C790" i="5"/>
  <c r="D790" i="5" s="1"/>
  <c r="E778" i="5"/>
  <c r="E777" i="5"/>
  <c r="AC776" i="5"/>
  <c r="J776" i="5"/>
  <c r="E776" i="5"/>
  <c r="AC775" i="5"/>
  <c r="V775" i="5"/>
  <c r="R775" i="5"/>
  <c r="Q775" i="5"/>
  <c r="T775" i="5" s="1"/>
  <c r="N775" i="5"/>
  <c r="P775" i="5" s="1"/>
  <c r="M775" i="5"/>
  <c r="L776" i="5" s="1"/>
  <c r="O776" i="5" s="1"/>
  <c r="L775" i="5"/>
  <c r="O775" i="5" s="1"/>
  <c r="J775" i="5"/>
  <c r="I775" i="5"/>
  <c r="H775" i="5"/>
  <c r="G776" i="5" s="1"/>
  <c r="H776" i="5" s="1"/>
  <c r="G775" i="5"/>
  <c r="E775" i="5"/>
  <c r="T770" i="5"/>
  <c r="T769" i="5"/>
  <c r="T768" i="5"/>
  <c r="T767" i="5"/>
  <c r="P747" i="5"/>
  <c r="E740" i="5"/>
  <c r="E739" i="5"/>
  <c r="E738" i="5"/>
  <c r="V737" i="5"/>
  <c r="Q737" i="5"/>
  <c r="T737" i="5" s="1"/>
  <c r="O737" i="5"/>
  <c r="L737" i="5"/>
  <c r="J737" i="5"/>
  <c r="G737" i="5"/>
  <c r="H737" i="5" s="1"/>
  <c r="E737" i="5"/>
  <c r="T732" i="5"/>
  <c r="T731" i="5"/>
  <c r="T730" i="5"/>
  <c r="T729" i="5"/>
  <c r="E702" i="5"/>
  <c r="E701" i="5"/>
  <c r="Q700" i="5"/>
  <c r="R700" i="5" s="1"/>
  <c r="S700" i="5" s="1"/>
  <c r="E700" i="5"/>
  <c r="AC699" i="5"/>
  <c r="Y699" i="5"/>
  <c r="V699" i="5"/>
  <c r="W699" i="5" s="1"/>
  <c r="U699" i="5"/>
  <c r="T699" i="5"/>
  <c r="Q699" i="5"/>
  <c r="R699" i="5" s="1"/>
  <c r="S699" i="5" s="1"/>
  <c r="M699" i="5"/>
  <c r="L699" i="5"/>
  <c r="O699" i="5" s="1"/>
  <c r="H699" i="5"/>
  <c r="G699" i="5"/>
  <c r="J699" i="5" s="1"/>
  <c r="E699" i="5"/>
  <c r="T694" i="5"/>
  <c r="T693" i="5"/>
  <c r="T692" i="5"/>
  <c r="T691" i="5"/>
  <c r="E664" i="5"/>
  <c r="E663" i="5"/>
  <c r="E662" i="5"/>
  <c r="W661" i="5"/>
  <c r="V661" i="5"/>
  <c r="Y661" i="5" s="1"/>
  <c r="Q661" i="5"/>
  <c r="T661" i="5" s="1"/>
  <c r="O661" i="5"/>
  <c r="L661" i="5"/>
  <c r="J661" i="5"/>
  <c r="G661" i="5"/>
  <c r="E661" i="5"/>
  <c r="T656" i="5"/>
  <c r="T655" i="5"/>
  <c r="T654" i="5"/>
  <c r="T653" i="5"/>
  <c r="E626" i="5"/>
  <c r="E625" i="5"/>
  <c r="L624" i="5"/>
  <c r="E624" i="5"/>
  <c r="W623" i="5"/>
  <c r="V623" i="5"/>
  <c r="Y623" i="5" s="1"/>
  <c r="T623" i="5"/>
  <c r="Q623" i="5"/>
  <c r="P623" i="5"/>
  <c r="O623" i="5"/>
  <c r="L623" i="5"/>
  <c r="M623" i="5" s="1"/>
  <c r="N623" i="5" s="1"/>
  <c r="H623" i="5"/>
  <c r="G623" i="5"/>
  <c r="J623" i="5" s="1"/>
  <c r="E623" i="5"/>
  <c r="R623" i="5" s="1"/>
  <c r="Q624" i="5" s="1"/>
  <c r="R624" i="5" s="1"/>
  <c r="Q625" i="5" s="1"/>
  <c r="R625" i="5" s="1"/>
  <c r="Q626" i="5" s="1"/>
  <c r="R626" i="5" s="1"/>
  <c r="S626" i="5" s="1"/>
  <c r="T618" i="5"/>
  <c r="T617" i="5"/>
  <c r="T616" i="5"/>
  <c r="T615" i="5"/>
  <c r="P595" i="5"/>
  <c r="E588" i="5"/>
  <c r="E587" i="5"/>
  <c r="E586" i="5"/>
  <c r="Y585" i="5"/>
  <c r="V585" i="5"/>
  <c r="T585" i="5"/>
  <c r="Q585" i="5"/>
  <c r="L585" i="5"/>
  <c r="O585" i="5" s="1"/>
  <c r="J585" i="5"/>
  <c r="G585" i="5"/>
  <c r="E585" i="5"/>
  <c r="T580" i="5"/>
  <c r="T579" i="5"/>
  <c r="T578" i="5"/>
  <c r="T577" i="5"/>
  <c r="C563" i="5"/>
  <c r="D563" i="5" s="1"/>
  <c r="D562" i="5"/>
  <c r="D564" i="5" s="1"/>
  <c r="P557" i="5"/>
  <c r="C554" i="5"/>
  <c r="C553" i="5"/>
  <c r="E550" i="5"/>
  <c r="E549" i="5"/>
  <c r="AC548" i="5"/>
  <c r="F554" i="5" s="1"/>
  <c r="E548" i="5"/>
  <c r="AC547" i="5"/>
  <c r="C562" i="5" s="1"/>
  <c r="Y547" i="5"/>
  <c r="W547" i="5"/>
  <c r="V547" i="5"/>
  <c r="Q547" i="5"/>
  <c r="L547" i="5"/>
  <c r="O547" i="5" s="1"/>
  <c r="G547" i="5"/>
  <c r="J547" i="5" s="1"/>
  <c r="E547" i="5"/>
  <c r="T542" i="5"/>
  <c r="T541" i="5"/>
  <c r="T540" i="5"/>
  <c r="T539" i="5"/>
  <c r="P519" i="5"/>
  <c r="E512" i="5"/>
  <c r="E511" i="5"/>
  <c r="E510" i="5"/>
  <c r="V509" i="5"/>
  <c r="W509" i="5" s="1"/>
  <c r="X509" i="5" s="1"/>
  <c r="Q509" i="5"/>
  <c r="O509" i="5"/>
  <c r="L509" i="5"/>
  <c r="J509" i="5"/>
  <c r="G509" i="5"/>
  <c r="E509" i="5"/>
  <c r="T504" i="5"/>
  <c r="T503" i="5"/>
  <c r="T502" i="5"/>
  <c r="T501" i="5"/>
  <c r="P481" i="5"/>
  <c r="C478" i="5"/>
  <c r="E474" i="5"/>
  <c r="E473" i="5"/>
  <c r="AC472" i="5"/>
  <c r="G488" i="5" s="1"/>
  <c r="H488" i="5" s="1"/>
  <c r="E472" i="5"/>
  <c r="AC471" i="5"/>
  <c r="Y471" i="5"/>
  <c r="W471" i="5"/>
  <c r="V472" i="5" s="1"/>
  <c r="Y472" i="5" s="1"/>
  <c r="V471" i="5"/>
  <c r="Q471" i="5"/>
  <c r="R471" i="5" s="1"/>
  <c r="Q472" i="5" s="1"/>
  <c r="O471" i="5"/>
  <c r="L471" i="5"/>
  <c r="M471" i="5" s="1"/>
  <c r="H471" i="5"/>
  <c r="I471" i="5" s="1"/>
  <c r="G471" i="5"/>
  <c r="J471" i="5" s="1"/>
  <c r="E471" i="5"/>
  <c r="T466" i="5"/>
  <c r="T465" i="5"/>
  <c r="T464" i="5"/>
  <c r="T463" i="5"/>
  <c r="P443" i="5"/>
  <c r="E436" i="5"/>
  <c r="E435" i="5"/>
  <c r="E434" i="5"/>
  <c r="AC433" i="5"/>
  <c r="V433" i="5"/>
  <c r="Y433" i="5" s="1"/>
  <c r="Q433" i="5"/>
  <c r="T433" i="5" s="1"/>
  <c r="O433" i="5"/>
  <c r="L433" i="5"/>
  <c r="G433" i="5"/>
  <c r="E433" i="5"/>
  <c r="M433" i="5" s="1"/>
  <c r="T428" i="5"/>
  <c r="T427" i="5"/>
  <c r="T426" i="5"/>
  <c r="T425" i="5"/>
  <c r="E398" i="5"/>
  <c r="E397" i="5"/>
  <c r="E396" i="5"/>
  <c r="AC395" i="5"/>
  <c r="Y395" i="5"/>
  <c r="W395" i="5"/>
  <c r="V396" i="5" s="1"/>
  <c r="W396" i="5" s="1"/>
  <c r="V397" i="5" s="1"/>
  <c r="Y397" i="5" s="1"/>
  <c r="V395" i="5"/>
  <c r="T395" i="5"/>
  <c r="U395" i="5" s="1"/>
  <c r="S395" i="5"/>
  <c r="Q395" i="5"/>
  <c r="R395" i="5" s="1"/>
  <c r="Q396" i="5" s="1"/>
  <c r="R396" i="5" s="1"/>
  <c r="Q397" i="5" s="1"/>
  <c r="O395" i="5"/>
  <c r="M395" i="5"/>
  <c r="L395" i="5"/>
  <c r="H395" i="5"/>
  <c r="G396" i="5" s="1"/>
  <c r="J396" i="5" s="1"/>
  <c r="G395" i="5"/>
  <c r="J395" i="5" s="1"/>
  <c r="E395" i="5"/>
  <c r="T390" i="5"/>
  <c r="T389" i="5"/>
  <c r="T388" i="5"/>
  <c r="T387" i="5"/>
  <c r="C373" i="5"/>
  <c r="D373" i="5" s="1"/>
  <c r="P367" i="5"/>
  <c r="E360" i="5"/>
  <c r="E359" i="5"/>
  <c r="E358" i="5"/>
  <c r="AC357" i="5"/>
  <c r="C372" i="5" s="1"/>
  <c r="D372" i="5" s="1"/>
  <c r="D374" i="5" s="1"/>
  <c r="V357" i="5"/>
  <c r="Y357" i="5" s="1"/>
  <c r="Q357" i="5"/>
  <c r="T357" i="5" s="1"/>
  <c r="O357" i="5"/>
  <c r="N357" i="5"/>
  <c r="M357" i="5"/>
  <c r="L358" i="5" s="1"/>
  <c r="L357" i="5"/>
  <c r="J357" i="5"/>
  <c r="I357" i="5"/>
  <c r="G357" i="5"/>
  <c r="H357" i="5" s="1"/>
  <c r="G358" i="5" s="1"/>
  <c r="J358" i="5" s="1"/>
  <c r="E357" i="5"/>
  <c r="T352" i="5"/>
  <c r="T351" i="5"/>
  <c r="T350" i="5"/>
  <c r="T349" i="5"/>
  <c r="C326" i="5"/>
  <c r="E322" i="5"/>
  <c r="E321" i="5"/>
  <c r="E320" i="5"/>
  <c r="AC320" i="5" s="1"/>
  <c r="V319" i="5"/>
  <c r="Y319" i="5" s="1"/>
  <c r="T319" i="5"/>
  <c r="Q319" i="5"/>
  <c r="O319" i="5"/>
  <c r="L319" i="5"/>
  <c r="J319" i="5"/>
  <c r="G319" i="5"/>
  <c r="H319" i="5" s="1"/>
  <c r="E319" i="5"/>
  <c r="AC319" i="5" s="1"/>
  <c r="T314" i="5"/>
  <c r="T313" i="5"/>
  <c r="T312" i="5"/>
  <c r="T311" i="5"/>
  <c r="P291" i="5"/>
  <c r="E284" i="5"/>
  <c r="E283" i="5"/>
  <c r="Q282" i="5"/>
  <c r="E282" i="5"/>
  <c r="Y281" i="5"/>
  <c r="V281" i="5"/>
  <c r="T281" i="5"/>
  <c r="U281" i="5" s="1"/>
  <c r="Q281" i="5"/>
  <c r="R281" i="5" s="1"/>
  <c r="S281" i="5" s="1"/>
  <c r="L281" i="5"/>
  <c r="O281" i="5" s="1"/>
  <c r="J281" i="5"/>
  <c r="G281" i="5"/>
  <c r="E281" i="5"/>
  <c r="AC281" i="5" s="1"/>
  <c r="T276" i="5"/>
  <c r="T275" i="5"/>
  <c r="T274" i="5"/>
  <c r="T273" i="5"/>
  <c r="E245" i="5"/>
  <c r="E244" i="5"/>
  <c r="E243" i="5"/>
  <c r="V242" i="5"/>
  <c r="Y242" i="5" s="1"/>
  <c r="T242" i="5"/>
  <c r="Q242" i="5"/>
  <c r="L242" i="5"/>
  <c r="G242" i="5"/>
  <c r="J242" i="5" s="1"/>
  <c r="E242" i="5"/>
  <c r="T237" i="5"/>
  <c r="T236" i="5"/>
  <c r="T235" i="5"/>
  <c r="T234" i="5"/>
  <c r="E207" i="5"/>
  <c r="E206" i="5"/>
  <c r="E205" i="5"/>
  <c r="V204" i="5"/>
  <c r="Q204" i="5"/>
  <c r="T204" i="5" s="1"/>
  <c r="L204" i="5"/>
  <c r="O204" i="5" s="1"/>
  <c r="J204" i="5"/>
  <c r="G204" i="5"/>
  <c r="E204" i="5"/>
  <c r="T199" i="5"/>
  <c r="T198" i="5"/>
  <c r="T197" i="5"/>
  <c r="T196" i="5"/>
  <c r="C182" i="5"/>
  <c r="D182" i="5" s="1"/>
  <c r="G181" i="5"/>
  <c r="H181" i="5" s="1"/>
  <c r="C181" i="5"/>
  <c r="D181" i="5" s="1"/>
  <c r="P176" i="5"/>
  <c r="C173" i="5"/>
  <c r="C172" i="5"/>
  <c r="E169" i="5"/>
  <c r="E168" i="5"/>
  <c r="AC168" i="5" s="1"/>
  <c r="K184" i="5" s="1"/>
  <c r="E167" i="5"/>
  <c r="AC167" i="5" s="1"/>
  <c r="V166" i="5"/>
  <c r="T166" i="5"/>
  <c r="R166" i="5"/>
  <c r="Q167" i="5" s="1"/>
  <c r="R167" i="5" s="1"/>
  <c r="Q168" i="5" s="1"/>
  <c r="Q166" i="5"/>
  <c r="L166" i="5"/>
  <c r="G166" i="5"/>
  <c r="E166" i="5"/>
  <c r="AC166" i="5" s="1"/>
  <c r="T161" i="5"/>
  <c r="T160" i="5"/>
  <c r="T159" i="5"/>
  <c r="T158" i="5"/>
  <c r="C144" i="5"/>
  <c r="D144" i="5" s="1"/>
  <c r="E131" i="5"/>
  <c r="E130" i="5"/>
  <c r="AC130" i="5" s="1"/>
  <c r="E129" i="5"/>
  <c r="AC129" i="5" s="1"/>
  <c r="F135" i="5" s="1"/>
  <c r="AC128" i="5"/>
  <c r="V128" i="5"/>
  <c r="Q128" i="5"/>
  <c r="L128" i="5"/>
  <c r="J128" i="5"/>
  <c r="H128" i="5"/>
  <c r="G129" i="5" s="1"/>
  <c r="H129" i="5" s="1"/>
  <c r="G130" i="5" s="1"/>
  <c r="G128" i="5"/>
  <c r="E128" i="5"/>
  <c r="T123" i="5"/>
  <c r="T122" i="5"/>
  <c r="T121" i="5"/>
  <c r="T120" i="5"/>
  <c r="D106" i="5"/>
  <c r="C105" i="5"/>
  <c r="D105" i="5" s="1"/>
  <c r="C97" i="5"/>
  <c r="P100" i="5"/>
  <c r="C96" i="5"/>
  <c r="E93" i="5"/>
  <c r="E92" i="5"/>
  <c r="E91" i="5"/>
  <c r="AC91" i="5" s="1"/>
  <c r="W90" i="5"/>
  <c r="V90" i="5"/>
  <c r="Y90" i="5" s="1"/>
  <c r="T90" i="5"/>
  <c r="R90" i="5"/>
  <c r="Q90" i="5"/>
  <c r="O90" i="5"/>
  <c r="L90" i="5"/>
  <c r="J90" i="5"/>
  <c r="H90" i="5"/>
  <c r="G90" i="5"/>
  <c r="E90" i="5"/>
  <c r="AC90" i="5" s="1"/>
  <c r="C106" i="5" s="1"/>
  <c r="T85" i="5"/>
  <c r="T84" i="5"/>
  <c r="T83" i="5"/>
  <c r="T82" i="5"/>
  <c r="E55" i="5"/>
  <c r="E54" i="5"/>
  <c r="E53" i="5"/>
  <c r="AC52" i="5"/>
  <c r="Y52" i="5"/>
  <c r="V52" i="5"/>
  <c r="T52" i="5"/>
  <c r="R52" i="5"/>
  <c r="Q52" i="5"/>
  <c r="M52" i="5"/>
  <c r="L52" i="5"/>
  <c r="O52" i="5" s="1"/>
  <c r="J52" i="5"/>
  <c r="H52" i="5"/>
  <c r="G52" i="5"/>
  <c r="E52" i="5"/>
  <c r="T47" i="5"/>
  <c r="T46" i="5"/>
  <c r="T45" i="5"/>
  <c r="T44" i="5"/>
  <c r="C29" i="5"/>
  <c r="D29" i="5" s="1"/>
  <c r="P21" i="5"/>
  <c r="C21" i="5"/>
  <c r="P24" i="5"/>
  <c r="E17" i="5"/>
  <c r="E16" i="5"/>
  <c r="E15" i="5"/>
  <c r="AC15" i="5" s="1"/>
  <c r="V14" i="5"/>
  <c r="Y14" i="5" s="1"/>
  <c r="T14" i="5"/>
  <c r="Q14" i="5"/>
  <c r="O14" i="5"/>
  <c r="L14" i="5"/>
  <c r="J14" i="5"/>
  <c r="G14" i="5"/>
  <c r="H14" i="5" s="1"/>
  <c r="E14" i="5"/>
  <c r="AC14" i="5" s="1"/>
  <c r="C20" i="5" s="1"/>
  <c r="T9" i="5"/>
  <c r="T8" i="5"/>
  <c r="T7" i="5"/>
  <c r="T6" i="5"/>
  <c r="L907" i="12"/>
  <c r="L869" i="12"/>
  <c r="L831" i="12"/>
  <c r="L793" i="12"/>
  <c r="L907" i="13"/>
  <c r="L869" i="13"/>
  <c r="L831" i="13"/>
  <c r="L793" i="13"/>
  <c r="L755" i="13"/>
  <c r="L717" i="13"/>
  <c r="L755" i="12"/>
  <c r="L717" i="12"/>
  <c r="L641" i="12"/>
  <c r="L602" i="12"/>
  <c r="L601" i="12"/>
  <c r="H602" i="12"/>
  <c r="H601" i="12"/>
  <c r="L563" i="12"/>
  <c r="H563" i="12"/>
  <c r="L526" i="12"/>
  <c r="L528" i="12" s="1"/>
  <c r="L524" i="12"/>
  <c r="L525" i="12"/>
  <c r="L527" i="12"/>
  <c r="L489" i="12"/>
  <c r="L488" i="12"/>
  <c r="H449" i="12"/>
  <c r="H411" i="12"/>
  <c r="S13" i="18" l="1"/>
  <c r="U13" i="18" s="1"/>
  <c r="Q14" i="18"/>
  <c r="I21" i="18"/>
  <c r="I20" i="18"/>
  <c r="I19" i="18"/>
  <c r="I18" i="18"/>
  <c r="AC15" i="18"/>
  <c r="V14" i="18"/>
  <c r="X13" i="18"/>
  <c r="Z13" i="18" s="1"/>
  <c r="O13" i="18"/>
  <c r="M13" i="18"/>
  <c r="H14" i="18"/>
  <c r="J14" i="18"/>
  <c r="B18" i="18"/>
  <c r="AB12" i="18"/>
  <c r="R18" i="18"/>
  <c r="B18" i="17"/>
  <c r="R18" i="17"/>
  <c r="AB12" i="17"/>
  <c r="O13" i="17"/>
  <c r="M13" i="17"/>
  <c r="J15" i="17"/>
  <c r="H15" i="17"/>
  <c r="I15" i="17" s="1"/>
  <c r="I20" i="17"/>
  <c r="AC15" i="17"/>
  <c r="I21" i="17"/>
  <c r="I19" i="17"/>
  <c r="I18" i="17"/>
  <c r="S14" i="17"/>
  <c r="U14" i="17" s="1"/>
  <c r="Q15" i="17"/>
  <c r="M13" i="16"/>
  <c r="O13" i="16"/>
  <c r="I19" i="16"/>
  <c r="I20" i="16"/>
  <c r="I21" i="16"/>
  <c r="I18" i="16"/>
  <c r="AC15" i="16"/>
  <c r="Y14" i="16"/>
  <c r="W14" i="16"/>
  <c r="J13" i="16"/>
  <c r="H13" i="16"/>
  <c r="Q14" i="16"/>
  <c r="S13" i="16"/>
  <c r="U13" i="16" s="1"/>
  <c r="AA12" i="16"/>
  <c r="X815" i="6"/>
  <c r="Y550" i="6"/>
  <c r="H15" i="6"/>
  <c r="J15" i="6"/>
  <c r="AC16" i="6"/>
  <c r="W15" i="6"/>
  <c r="Y15" i="6"/>
  <c r="AC17" i="6"/>
  <c r="Q53" i="6"/>
  <c r="S52" i="6"/>
  <c r="U52" i="6" s="1"/>
  <c r="AC91" i="6"/>
  <c r="C21" i="6"/>
  <c r="C20" i="6"/>
  <c r="C30" i="6"/>
  <c r="D30" i="6" s="1"/>
  <c r="C29" i="6"/>
  <c r="D29" i="6" s="1"/>
  <c r="S14" i="6"/>
  <c r="U14" i="6" s="1"/>
  <c r="Q15" i="6"/>
  <c r="C97" i="6"/>
  <c r="C96" i="6"/>
  <c r="C106" i="6"/>
  <c r="D106" i="6" s="1"/>
  <c r="C105" i="6"/>
  <c r="D105" i="6" s="1"/>
  <c r="D107" i="6" s="1"/>
  <c r="K14" i="6"/>
  <c r="G30" i="6"/>
  <c r="H30" i="6" s="1"/>
  <c r="G29" i="6"/>
  <c r="H29" i="6" s="1"/>
  <c r="H32" i="6" s="1"/>
  <c r="F22" i="6"/>
  <c r="G31" i="6"/>
  <c r="H31" i="6" s="1"/>
  <c r="F21" i="6"/>
  <c r="F20" i="6"/>
  <c r="N52" i="6"/>
  <c r="P52" i="6" s="1"/>
  <c r="L53" i="6"/>
  <c r="Y53" i="6"/>
  <c r="W53" i="6"/>
  <c r="I90" i="6"/>
  <c r="K90" i="6" s="1"/>
  <c r="G91" i="6"/>
  <c r="R90" i="6"/>
  <c r="Q243" i="6"/>
  <c r="S242" i="6"/>
  <c r="U242" i="6" s="1"/>
  <c r="O319" i="6"/>
  <c r="M319" i="6"/>
  <c r="I14" i="6"/>
  <c r="M14" i="6"/>
  <c r="H52" i="6"/>
  <c r="X52" i="6"/>
  <c r="Z52" i="6" s="1"/>
  <c r="W90" i="6"/>
  <c r="T128" i="6"/>
  <c r="U128" i="6" s="1"/>
  <c r="Z128" i="6"/>
  <c r="H129" i="6"/>
  <c r="X129" i="6"/>
  <c r="O166" i="6"/>
  <c r="M166" i="6"/>
  <c r="N204" i="6"/>
  <c r="L205" i="6"/>
  <c r="Z204" i="6"/>
  <c r="Y242" i="6"/>
  <c r="W242" i="6"/>
  <c r="C288" i="6"/>
  <c r="C287" i="6"/>
  <c r="P291" i="6"/>
  <c r="S319" i="6"/>
  <c r="Q320" i="6"/>
  <c r="W320" i="6"/>
  <c r="Y320" i="6"/>
  <c r="S357" i="6"/>
  <c r="U357" i="6" s="1"/>
  <c r="Q358" i="6"/>
  <c r="W357" i="6"/>
  <c r="Y357" i="6"/>
  <c r="G144" i="6"/>
  <c r="H144" i="6" s="1"/>
  <c r="G143" i="6"/>
  <c r="H143" i="6" s="1"/>
  <c r="F136" i="6"/>
  <c r="G145" i="6"/>
  <c r="H145" i="6" s="1"/>
  <c r="F134" i="6"/>
  <c r="G167" i="6"/>
  <c r="I166" i="6"/>
  <c r="AC205" i="6"/>
  <c r="AC206" i="6" s="1"/>
  <c r="G297" i="6"/>
  <c r="H297" i="6" s="1"/>
  <c r="G296" i="6"/>
  <c r="H296" i="6" s="1"/>
  <c r="F289" i="6"/>
  <c r="G298" i="6"/>
  <c r="H298" i="6" s="1"/>
  <c r="AC52" i="6"/>
  <c r="K128" i="6"/>
  <c r="M128" i="6"/>
  <c r="Q129" i="6"/>
  <c r="Y129" i="6"/>
  <c r="Z129" i="6" s="1"/>
  <c r="X130" i="6"/>
  <c r="Y131" i="6"/>
  <c r="Z131" i="6" s="1"/>
  <c r="P138" i="6"/>
  <c r="C173" i="6"/>
  <c r="C172" i="6"/>
  <c r="C182" i="6"/>
  <c r="D182" i="6" s="1"/>
  <c r="C181" i="6"/>
  <c r="D181" i="6" s="1"/>
  <c r="D183" i="6" s="1"/>
  <c r="W167" i="6"/>
  <c r="Y167" i="6"/>
  <c r="AC167" i="6"/>
  <c r="R205" i="6"/>
  <c r="T205" i="6"/>
  <c r="P204" i="6"/>
  <c r="V205" i="6"/>
  <c r="X204" i="6"/>
  <c r="AC242" i="6"/>
  <c r="M242" i="6"/>
  <c r="H242" i="6"/>
  <c r="K281" i="6"/>
  <c r="L282" i="6"/>
  <c r="N281" i="6"/>
  <c r="P281" i="6" s="1"/>
  <c r="X282" i="6"/>
  <c r="Z282" i="6" s="1"/>
  <c r="V283" i="6"/>
  <c r="C297" i="6"/>
  <c r="D297" i="6" s="1"/>
  <c r="D298" i="6" s="1"/>
  <c r="AC359" i="6"/>
  <c r="AC360" i="6" s="1"/>
  <c r="N395" i="6"/>
  <c r="P395" i="6" s="1"/>
  <c r="L396" i="6"/>
  <c r="AC130" i="6"/>
  <c r="F135" i="6"/>
  <c r="M90" i="6"/>
  <c r="C135" i="6"/>
  <c r="C134" i="6"/>
  <c r="Y130" i="6"/>
  <c r="C144" i="6"/>
  <c r="D144" i="6" s="1"/>
  <c r="D145" i="6" s="1"/>
  <c r="K166" i="6"/>
  <c r="S166" i="6"/>
  <c r="U166" i="6" s="1"/>
  <c r="Q167" i="6"/>
  <c r="J204" i="6"/>
  <c r="H204" i="6"/>
  <c r="U204" i="6"/>
  <c r="AC243" i="6"/>
  <c r="H282" i="6"/>
  <c r="J282" i="6"/>
  <c r="T281" i="6"/>
  <c r="R281" i="6"/>
  <c r="AC283" i="6"/>
  <c r="F287" i="6"/>
  <c r="F288" i="6"/>
  <c r="G320" i="6"/>
  <c r="I319" i="6"/>
  <c r="K319" i="6" s="1"/>
  <c r="U319" i="6"/>
  <c r="G373" i="6"/>
  <c r="H373" i="6" s="1"/>
  <c r="G372" i="6"/>
  <c r="H372" i="6" s="1"/>
  <c r="F365" i="6"/>
  <c r="G374" i="6"/>
  <c r="H374" i="6" s="1"/>
  <c r="F363" i="6"/>
  <c r="F364" i="6"/>
  <c r="S433" i="6"/>
  <c r="Q434" i="6"/>
  <c r="V586" i="6"/>
  <c r="X585" i="6"/>
  <c r="AC319" i="6"/>
  <c r="AC320" i="6" s="1"/>
  <c r="K357" i="6"/>
  <c r="C372" i="6"/>
  <c r="D372" i="6" s="1"/>
  <c r="D374" i="6" s="1"/>
  <c r="K396" i="6"/>
  <c r="C402" i="6"/>
  <c r="C401" i="6"/>
  <c r="Y396" i="6"/>
  <c r="AC397" i="6"/>
  <c r="F401" i="6"/>
  <c r="G434" i="6"/>
  <c r="I433" i="6"/>
  <c r="K433" i="6" s="1"/>
  <c r="U433" i="6"/>
  <c r="N471" i="6"/>
  <c r="L472" i="6"/>
  <c r="U471" i="6"/>
  <c r="AC204" i="6"/>
  <c r="P357" i="6"/>
  <c r="X395" i="6"/>
  <c r="Z395" i="6" s="1"/>
  <c r="G411" i="6"/>
  <c r="G410" i="6"/>
  <c r="H410" i="6" s="1"/>
  <c r="F403" i="6"/>
  <c r="G412" i="6"/>
  <c r="H412" i="6" s="1"/>
  <c r="O433" i="6"/>
  <c r="M433" i="6"/>
  <c r="Z433" i="6"/>
  <c r="AC434" i="6"/>
  <c r="R472" i="6"/>
  <c r="T472" i="6"/>
  <c r="P471" i="6"/>
  <c r="Z471" i="6"/>
  <c r="O547" i="6"/>
  <c r="M547" i="6"/>
  <c r="G563" i="6"/>
  <c r="H563" i="6" s="1"/>
  <c r="G562" i="6"/>
  <c r="H562" i="6" s="1"/>
  <c r="H565" i="6" s="1"/>
  <c r="F555" i="6"/>
  <c r="G564" i="6"/>
  <c r="H564" i="6" s="1"/>
  <c r="F554" i="6"/>
  <c r="AC549" i="6"/>
  <c r="Z550" i="6"/>
  <c r="AC737" i="6"/>
  <c r="M737" i="6"/>
  <c r="R737" i="6"/>
  <c r="H776" i="6"/>
  <c r="J776" i="6"/>
  <c r="L776" i="6"/>
  <c r="N775" i="6"/>
  <c r="H358" i="6"/>
  <c r="C364" i="6"/>
  <c r="C363" i="6"/>
  <c r="M358" i="6"/>
  <c r="X396" i="6"/>
  <c r="V397" i="6"/>
  <c r="H397" i="6"/>
  <c r="J397" i="6"/>
  <c r="T396" i="6"/>
  <c r="R396" i="6"/>
  <c r="C440" i="6"/>
  <c r="C439" i="6"/>
  <c r="C449" i="6"/>
  <c r="D449" i="6" s="1"/>
  <c r="C448" i="6"/>
  <c r="D448" i="6" s="1"/>
  <c r="W434" i="6"/>
  <c r="Y434" i="6"/>
  <c r="J471" i="6"/>
  <c r="H471" i="6"/>
  <c r="V472" i="6"/>
  <c r="X471" i="6"/>
  <c r="L510" i="6"/>
  <c r="N509" i="6"/>
  <c r="P509" i="6" s="1"/>
  <c r="C516" i="6"/>
  <c r="C515" i="6"/>
  <c r="C525" i="6"/>
  <c r="D525" i="6" s="1"/>
  <c r="C524" i="6"/>
  <c r="D524" i="6" s="1"/>
  <c r="AC510" i="6"/>
  <c r="AC587" i="6"/>
  <c r="AC588" i="6" s="1"/>
  <c r="K641" i="6"/>
  <c r="L641" i="6" s="1"/>
  <c r="K639" i="6"/>
  <c r="K638" i="6"/>
  <c r="K640" i="6"/>
  <c r="L640" i="6" s="1"/>
  <c r="I630" i="6"/>
  <c r="I629" i="6"/>
  <c r="I632" i="6"/>
  <c r="I631" i="6"/>
  <c r="I509" i="6"/>
  <c r="K509" i="6" s="1"/>
  <c r="W509" i="6"/>
  <c r="K547" i="6"/>
  <c r="Z547" i="6"/>
  <c r="X548" i="6"/>
  <c r="T586" i="6"/>
  <c r="R586" i="6"/>
  <c r="L586" i="6"/>
  <c r="N585" i="6"/>
  <c r="S585" i="6"/>
  <c r="G586" i="6"/>
  <c r="G639" i="6"/>
  <c r="H639" i="6" s="1"/>
  <c r="G638" i="6"/>
  <c r="H638" i="6" s="1"/>
  <c r="H641" i="6" s="1"/>
  <c r="F631" i="6"/>
  <c r="F629" i="6"/>
  <c r="F630" i="6"/>
  <c r="D792" i="6"/>
  <c r="AC471" i="6"/>
  <c r="Y509" i="6"/>
  <c r="I510" i="6"/>
  <c r="I511" i="6"/>
  <c r="I548" i="6"/>
  <c r="K548" i="6" s="1"/>
  <c r="Q548" i="6"/>
  <c r="Y548" i="6"/>
  <c r="H549" i="6"/>
  <c r="X549" i="6"/>
  <c r="O585" i="6"/>
  <c r="P585" i="6" s="1"/>
  <c r="Q591" i="6" s="1"/>
  <c r="R591" i="6" s="1"/>
  <c r="U585" i="6"/>
  <c r="S623" i="6"/>
  <c r="U623" i="6" s="1"/>
  <c r="Q624" i="6"/>
  <c r="H700" i="6"/>
  <c r="J700" i="6"/>
  <c r="R509" i="6"/>
  <c r="J510" i="6"/>
  <c r="J511" i="6"/>
  <c r="J512" i="6"/>
  <c r="K512" i="6" s="1"/>
  <c r="C554" i="6"/>
  <c r="C553" i="6"/>
  <c r="Y549" i="6"/>
  <c r="P557" i="6"/>
  <c r="Z585" i="6"/>
  <c r="H624" i="6"/>
  <c r="J624" i="6"/>
  <c r="O624" i="6"/>
  <c r="M624" i="6"/>
  <c r="W623" i="6"/>
  <c r="Y623" i="6"/>
  <c r="AC626" i="6"/>
  <c r="R814" i="6"/>
  <c r="T814" i="6"/>
  <c r="AC585" i="6"/>
  <c r="K623" i="6"/>
  <c r="X661" i="6"/>
  <c r="V662" i="6"/>
  <c r="AC738" i="6"/>
  <c r="AC586" i="6"/>
  <c r="P623" i="6"/>
  <c r="K661" i="6"/>
  <c r="L662" i="6"/>
  <c r="N661" i="6"/>
  <c r="P661" i="6" s="1"/>
  <c r="Z661" i="6"/>
  <c r="AC662" i="6"/>
  <c r="Q700" i="6"/>
  <c r="S699" i="6"/>
  <c r="U699" i="6" s="1"/>
  <c r="C639" i="6"/>
  <c r="D639" i="6" s="1"/>
  <c r="C638" i="6"/>
  <c r="D638" i="6" s="1"/>
  <c r="C630" i="6"/>
  <c r="C629" i="6"/>
  <c r="H662" i="6"/>
  <c r="J662" i="6"/>
  <c r="T661" i="6"/>
  <c r="R661" i="6"/>
  <c r="C668" i="6"/>
  <c r="C667" i="6"/>
  <c r="L700" i="6"/>
  <c r="N699" i="6"/>
  <c r="G791" i="6"/>
  <c r="H791" i="6" s="1"/>
  <c r="G790" i="6"/>
  <c r="H790" i="6" s="1"/>
  <c r="H793" i="6" s="1"/>
  <c r="F783" i="6"/>
  <c r="F782" i="6"/>
  <c r="G792" i="6"/>
  <c r="H792" i="6" s="1"/>
  <c r="F781" i="6"/>
  <c r="AC777" i="6"/>
  <c r="J699" i="6"/>
  <c r="K699" i="6" s="1"/>
  <c r="H737" i="6"/>
  <c r="T775" i="6"/>
  <c r="R775" i="6"/>
  <c r="C781" i="6"/>
  <c r="C782" i="6"/>
  <c r="C791" i="6"/>
  <c r="D791" i="6" s="1"/>
  <c r="C715" i="6"/>
  <c r="D715" i="6" s="1"/>
  <c r="C714" i="6"/>
  <c r="D714" i="6" s="1"/>
  <c r="P699" i="6"/>
  <c r="AC700" i="6"/>
  <c r="V700" i="6"/>
  <c r="W737" i="6"/>
  <c r="N813" i="6"/>
  <c r="P813" i="6" s="1"/>
  <c r="L814" i="6"/>
  <c r="P775" i="6"/>
  <c r="X775" i="6"/>
  <c r="Z775" i="6" s="1"/>
  <c r="V776" i="6"/>
  <c r="G814" i="6"/>
  <c r="I813" i="6"/>
  <c r="K813" i="6" s="1"/>
  <c r="C820" i="6"/>
  <c r="C819" i="6"/>
  <c r="Y815" i="6"/>
  <c r="Z815" i="6" s="1"/>
  <c r="G852" i="6"/>
  <c r="I851" i="6"/>
  <c r="K851" i="6" s="1"/>
  <c r="V890" i="6"/>
  <c r="X889" i="6"/>
  <c r="X813" i="6"/>
  <c r="AC814" i="6"/>
  <c r="Y816" i="6"/>
  <c r="Z816" i="6" s="1"/>
  <c r="C828" i="6"/>
  <c r="D828" i="6" s="1"/>
  <c r="D830" i="6" s="1"/>
  <c r="C829" i="6"/>
  <c r="D829" i="6" s="1"/>
  <c r="AC853" i="6"/>
  <c r="Z813" i="6"/>
  <c r="S851" i="6"/>
  <c r="U851" i="6" s="1"/>
  <c r="Q852" i="6"/>
  <c r="G867" i="6"/>
  <c r="H867" i="6" s="1"/>
  <c r="G866" i="6"/>
  <c r="H866" i="6" s="1"/>
  <c r="H869" i="6" s="1"/>
  <c r="F859" i="6"/>
  <c r="G868" i="6"/>
  <c r="H868" i="6" s="1"/>
  <c r="F858" i="6"/>
  <c r="F857" i="6"/>
  <c r="C905" i="6"/>
  <c r="D905" i="6" s="1"/>
  <c r="C904" i="6"/>
  <c r="D904" i="6" s="1"/>
  <c r="C895" i="6"/>
  <c r="C896" i="6"/>
  <c r="O851" i="6"/>
  <c r="M851" i="6"/>
  <c r="W852" i="6"/>
  <c r="Y852" i="6"/>
  <c r="J889" i="6"/>
  <c r="H889" i="6"/>
  <c r="R890" i="6"/>
  <c r="T890" i="6"/>
  <c r="P899" i="6"/>
  <c r="C858" i="6"/>
  <c r="C857" i="6"/>
  <c r="C867" i="6"/>
  <c r="D867" i="6" s="1"/>
  <c r="C866" i="6"/>
  <c r="D866" i="6" s="1"/>
  <c r="D868" i="6" s="1"/>
  <c r="X851" i="6"/>
  <c r="AC854" i="6"/>
  <c r="S889" i="6"/>
  <c r="AC890" i="6"/>
  <c r="Z889" i="6"/>
  <c r="Y851" i="6"/>
  <c r="T889" i="6"/>
  <c r="U889" i="6" s="1"/>
  <c r="M889" i="6"/>
  <c r="T892" i="5"/>
  <c r="S890" i="5"/>
  <c r="M776" i="5"/>
  <c r="L777" i="5" s="1"/>
  <c r="T700" i="5"/>
  <c r="U700" i="5" s="1"/>
  <c r="Q701" i="5"/>
  <c r="R701" i="5" s="1"/>
  <c r="T624" i="5"/>
  <c r="S624" i="5"/>
  <c r="T626" i="5"/>
  <c r="U626" i="5" s="1"/>
  <c r="S625" i="5"/>
  <c r="AC549" i="5"/>
  <c r="K565" i="5" s="1"/>
  <c r="G486" i="5"/>
  <c r="H486" i="5" s="1"/>
  <c r="F477" i="5"/>
  <c r="X396" i="5"/>
  <c r="S167" i="5"/>
  <c r="C59" i="5"/>
  <c r="C58" i="5"/>
  <c r="C68" i="5"/>
  <c r="D68" i="5" s="1"/>
  <c r="C67" i="5"/>
  <c r="D67" i="5" s="1"/>
  <c r="D69" i="5" s="1"/>
  <c r="J130" i="5"/>
  <c r="H130" i="5"/>
  <c r="I135" i="5"/>
  <c r="I134" i="5"/>
  <c r="K144" i="5"/>
  <c r="I136" i="5"/>
  <c r="K143" i="5"/>
  <c r="I137" i="5"/>
  <c r="K146" i="5"/>
  <c r="M166" i="5"/>
  <c r="O166" i="5"/>
  <c r="Y166" i="5"/>
  <c r="W166" i="5"/>
  <c r="R397" i="5"/>
  <c r="T397" i="5"/>
  <c r="AC53" i="5"/>
  <c r="AC131" i="5"/>
  <c r="AC242" i="5"/>
  <c r="R242" i="5"/>
  <c r="C288" i="5"/>
  <c r="C287" i="5"/>
  <c r="C297" i="5"/>
  <c r="D297" i="5" s="1"/>
  <c r="T282" i="5"/>
  <c r="R282" i="5"/>
  <c r="G53" i="5"/>
  <c r="I52" i="5"/>
  <c r="K52" i="5" s="1"/>
  <c r="V91" i="5"/>
  <c r="X90" i="5"/>
  <c r="Z90" i="5" s="1"/>
  <c r="O128" i="5"/>
  <c r="M128" i="5"/>
  <c r="T168" i="5"/>
  <c r="R168" i="5"/>
  <c r="AC204" i="5"/>
  <c r="H204" i="5"/>
  <c r="R472" i="5"/>
  <c r="T472" i="5"/>
  <c r="I14" i="5"/>
  <c r="K14" i="5" s="1"/>
  <c r="G15" i="5"/>
  <c r="U52" i="5"/>
  <c r="W128" i="5"/>
  <c r="Y128" i="5"/>
  <c r="I129" i="5"/>
  <c r="G334" i="5"/>
  <c r="H334" i="5" s="1"/>
  <c r="F326" i="5"/>
  <c r="F325" i="5"/>
  <c r="F327" i="5"/>
  <c r="G336" i="5"/>
  <c r="H336" i="5" s="1"/>
  <c r="G335" i="5"/>
  <c r="H335" i="5" s="1"/>
  <c r="N471" i="5"/>
  <c r="L472" i="5"/>
  <c r="F21" i="5"/>
  <c r="F20" i="5"/>
  <c r="G29" i="5"/>
  <c r="H29" i="5" s="1"/>
  <c r="H32" i="5" s="1"/>
  <c r="F22" i="5"/>
  <c r="G31" i="5"/>
  <c r="N52" i="5"/>
  <c r="P52" i="5" s="1"/>
  <c r="L53" i="5"/>
  <c r="I90" i="5"/>
  <c r="K90" i="5" s="1"/>
  <c r="G91" i="5"/>
  <c r="G30" i="5"/>
  <c r="H30" i="5" s="1"/>
  <c r="S52" i="5"/>
  <c r="Q53" i="5"/>
  <c r="Q91" i="5"/>
  <c r="S90" i="5"/>
  <c r="D107" i="5"/>
  <c r="T128" i="5"/>
  <c r="R128" i="5"/>
  <c r="G145" i="5"/>
  <c r="H145" i="5" s="1"/>
  <c r="F136" i="5"/>
  <c r="G143" i="5"/>
  <c r="H143" i="5" s="1"/>
  <c r="F134" i="5"/>
  <c r="G144" i="5"/>
  <c r="K145" i="5"/>
  <c r="L145" i="5" s="1"/>
  <c r="J166" i="5"/>
  <c r="H166" i="5"/>
  <c r="K183" i="5"/>
  <c r="L183" i="5" s="1"/>
  <c r="I175" i="5"/>
  <c r="I174" i="5"/>
  <c r="K182" i="5"/>
  <c r="K181" i="5"/>
  <c r="L181" i="5" s="1"/>
  <c r="I173" i="5"/>
  <c r="I172" i="5"/>
  <c r="D183" i="5"/>
  <c r="AC282" i="5"/>
  <c r="C296" i="5"/>
  <c r="D296" i="5" s="1"/>
  <c r="D298" i="5" s="1"/>
  <c r="I319" i="5"/>
  <c r="K319" i="5" s="1"/>
  <c r="G320" i="5"/>
  <c r="L434" i="5"/>
  <c r="N433" i="5"/>
  <c r="P433" i="5" s="1"/>
  <c r="C449" i="5"/>
  <c r="D449" i="5" s="1"/>
  <c r="C440" i="5"/>
  <c r="C439" i="5"/>
  <c r="P471" i="5"/>
  <c r="G472" i="5"/>
  <c r="Y737" i="5"/>
  <c r="W737" i="5"/>
  <c r="F97" i="5"/>
  <c r="F96" i="5"/>
  <c r="J129" i="5"/>
  <c r="G106" i="5"/>
  <c r="C135" i="5"/>
  <c r="C134" i="5"/>
  <c r="T167" i="5"/>
  <c r="W204" i="5"/>
  <c r="M242" i="5"/>
  <c r="C335" i="5"/>
  <c r="D335" i="5" s="1"/>
  <c r="C334" i="5"/>
  <c r="D334" i="5" s="1"/>
  <c r="D336" i="5" s="1"/>
  <c r="K357" i="5"/>
  <c r="N395" i="5"/>
  <c r="P395" i="5" s="1"/>
  <c r="L396" i="5"/>
  <c r="C411" i="5"/>
  <c r="D411" i="5" s="1"/>
  <c r="C410" i="5"/>
  <c r="D410" i="5" s="1"/>
  <c r="D412" i="5" s="1"/>
  <c r="C401" i="5"/>
  <c r="S396" i="5"/>
  <c r="Y396" i="5"/>
  <c r="W433" i="5"/>
  <c r="W472" i="5"/>
  <c r="G487" i="5"/>
  <c r="H487" i="5" s="1"/>
  <c r="H489" i="5" s="1"/>
  <c r="F478" i="5"/>
  <c r="F479" i="5"/>
  <c r="T509" i="5"/>
  <c r="R509" i="5"/>
  <c r="Y509" i="5"/>
  <c r="Z509" i="5" s="1"/>
  <c r="V510" i="5"/>
  <c r="M547" i="5"/>
  <c r="K564" i="5"/>
  <c r="K562" i="5"/>
  <c r="AC550" i="5"/>
  <c r="G700" i="5"/>
  <c r="I699" i="5"/>
  <c r="C706" i="5"/>
  <c r="C705" i="5"/>
  <c r="C715" i="5"/>
  <c r="D715" i="5" s="1"/>
  <c r="C714" i="5"/>
  <c r="D714" i="5" s="1"/>
  <c r="AC700" i="5"/>
  <c r="M14" i="5"/>
  <c r="AC16" i="5"/>
  <c r="C30" i="5"/>
  <c r="D30" i="5" s="1"/>
  <c r="D31" i="5" s="1"/>
  <c r="P62" i="5"/>
  <c r="U90" i="5"/>
  <c r="F98" i="5"/>
  <c r="G107" i="5"/>
  <c r="H107" i="5" s="1"/>
  <c r="I128" i="5"/>
  <c r="K128" i="5" s="1"/>
  <c r="C143" i="5"/>
  <c r="D143" i="5" s="1"/>
  <c r="D145" i="5" s="1"/>
  <c r="S166" i="5"/>
  <c r="F173" i="5"/>
  <c r="F172" i="5"/>
  <c r="AC169" i="5"/>
  <c r="G182" i="5"/>
  <c r="H182" i="5" s="1"/>
  <c r="H184" i="5" s="1"/>
  <c r="M204" i="5"/>
  <c r="R204" i="5"/>
  <c r="H242" i="5"/>
  <c r="W242" i="5"/>
  <c r="W281" i="5"/>
  <c r="M319" i="5"/>
  <c r="AC321" i="5"/>
  <c r="AC322" i="5" s="1"/>
  <c r="W357" i="5"/>
  <c r="AC358" i="5"/>
  <c r="I395" i="5"/>
  <c r="K395" i="5" s="1"/>
  <c r="X395" i="5"/>
  <c r="T396" i="5"/>
  <c r="W397" i="5"/>
  <c r="R433" i="5"/>
  <c r="AC434" i="5"/>
  <c r="C448" i="5"/>
  <c r="D448" i="5" s="1"/>
  <c r="S471" i="5"/>
  <c r="X471" i="5"/>
  <c r="Z471" i="5" s="1"/>
  <c r="C487" i="5"/>
  <c r="D487" i="5" s="1"/>
  <c r="C486" i="5"/>
  <c r="D486" i="5" s="1"/>
  <c r="D488" i="5" s="1"/>
  <c r="C477" i="5"/>
  <c r="AC509" i="5"/>
  <c r="M509" i="5"/>
  <c r="H547" i="5"/>
  <c r="G564" i="5"/>
  <c r="H564" i="5" s="1"/>
  <c r="G563" i="5"/>
  <c r="F555" i="5"/>
  <c r="F553" i="5"/>
  <c r="G562" i="5"/>
  <c r="H562" i="5" s="1"/>
  <c r="H565" i="5" s="1"/>
  <c r="I555" i="5"/>
  <c r="AC585" i="5"/>
  <c r="AC586" i="5" s="1"/>
  <c r="R585" i="5"/>
  <c r="M585" i="5"/>
  <c r="H585" i="5"/>
  <c r="U624" i="5"/>
  <c r="T701" i="5"/>
  <c r="R14" i="5"/>
  <c r="W14" i="5"/>
  <c r="W52" i="5"/>
  <c r="M90" i="5"/>
  <c r="AC92" i="5"/>
  <c r="G105" i="5"/>
  <c r="H105" i="5" s="1"/>
  <c r="P138" i="5"/>
  <c r="U166" i="5"/>
  <c r="F174" i="5"/>
  <c r="G183" i="5"/>
  <c r="H183" i="5" s="1"/>
  <c r="Y204" i="5"/>
  <c r="O242" i="5"/>
  <c r="AC243" i="5"/>
  <c r="H281" i="5"/>
  <c r="M281" i="5"/>
  <c r="R319" i="5"/>
  <c r="W319" i="5"/>
  <c r="C325" i="5"/>
  <c r="H358" i="5"/>
  <c r="M358" i="5"/>
  <c r="R357" i="5"/>
  <c r="O358" i="5"/>
  <c r="C363" i="5"/>
  <c r="C364" i="5"/>
  <c r="Z395" i="5"/>
  <c r="H396" i="5"/>
  <c r="AC396" i="5"/>
  <c r="C402" i="5"/>
  <c r="H433" i="5"/>
  <c r="J433" i="5"/>
  <c r="K471" i="5"/>
  <c r="T471" i="5"/>
  <c r="U471" i="5" s="1"/>
  <c r="AC473" i="5"/>
  <c r="H509" i="5"/>
  <c r="R547" i="5"/>
  <c r="T547" i="5"/>
  <c r="V548" i="5"/>
  <c r="X547" i="5"/>
  <c r="Z547" i="5" s="1"/>
  <c r="I623" i="5"/>
  <c r="K623" i="5" s="1"/>
  <c r="G624" i="5"/>
  <c r="V624" i="5"/>
  <c r="X623" i="5"/>
  <c r="M624" i="5"/>
  <c r="O624" i="5"/>
  <c r="X661" i="5"/>
  <c r="Z661" i="5" s="1"/>
  <c r="V662" i="5"/>
  <c r="N699" i="5"/>
  <c r="P699" i="5" s="1"/>
  <c r="L700" i="5"/>
  <c r="N776" i="5"/>
  <c r="P776" i="5" s="1"/>
  <c r="P357" i="5"/>
  <c r="Z623" i="5"/>
  <c r="AC661" i="5"/>
  <c r="M661" i="5"/>
  <c r="R661" i="5"/>
  <c r="K699" i="5"/>
  <c r="V700" i="5"/>
  <c r="X699" i="5"/>
  <c r="M813" i="5"/>
  <c r="O813" i="5"/>
  <c r="I737" i="5"/>
  <c r="K737" i="5" s="1"/>
  <c r="G738" i="5"/>
  <c r="G791" i="5"/>
  <c r="H791" i="5" s="1"/>
  <c r="G790" i="5"/>
  <c r="H790" i="5" s="1"/>
  <c r="G792" i="5"/>
  <c r="H792" i="5" s="1"/>
  <c r="F783" i="5"/>
  <c r="F781" i="5"/>
  <c r="F782" i="5"/>
  <c r="AC777" i="5"/>
  <c r="W585" i="5"/>
  <c r="S623" i="5"/>
  <c r="U623" i="5" s="1"/>
  <c r="T625" i="5"/>
  <c r="U625" i="5" s="1"/>
  <c r="F820" i="5"/>
  <c r="F819" i="5"/>
  <c r="G829" i="5"/>
  <c r="H829" i="5" s="1"/>
  <c r="G828" i="5"/>
  <c r="H828" i="5" s="1"/>
  <c r="F821" i="5"/>
  <c r="G830" i="5"/>
  <c r="H830" i="5" s="1"/>
  <c r="AC623" i="5"/>
  <c r="AC624" i="5" s="1"/>
  <c r="H661" i="5"/>
  <c r="S775" i="5"/>
  <c r="U775" i="5" s="1"/>
  <c r="Q776" i="5"/>
  <c r="C782" i="5"/>
  <c r="C781" i="5"/>
  <c r="C791" i="5"/>
  <c r="D791" i="5" s="1"/>
  <c r="D792" i="5" s="1"/>
  <c r="J889" i="5"/>
  <c r="H889" i="5"/>
  <c r="AC662" i="5"/>
  <c r="Z699" i="5"/>
  <c r="AC737" i="5"/>
  <c r="AC738" i="5" s="1"/>
  <c r="M737" i="5"/>
  <c r="R737" i="5"/>
  <c r="G777" i="5"/>
  <c r="I776" i="5"/>
  <c r="K776" i="5" s="1"/>
  <c r="G867" i="5"/>
  <c r="H867" i="5" s="1"/>
  <c r="G866" i="5"/>
  <c r="H866" i="5" s="1"/>
  <c r="G868" i="5"/>
  <c r="H868" i="5" s="1"/>
  <c r="F859" i="5"/>
  <c r="F857" i="5"/>
  <c r="F858" i="5"/>
  <c r="K775" i="5"/>
  <c r="W775" i="5"/>
  <c r="Y813" i="5"/>
  <c r="W813" i="5"/>
  <c r="AC815" i="5"/>
  <c r="Z889" i="5"/>
  <c r="Y775" i="5"/>
  <c r="H813" i="5"/>
  <c r="T851" i="5"/>
  <c r="R851" i="5"/>
  <c r="W852" i="5"/>
  <c r="C819" i="5"/>
  <c r="AC853" i="5"/>
  <c r="U892" i="5"/>
  <c r="R813" i="5"/>
  <c r="C828" i="5"/>
  <c r="D828" i="5" s="1"/>
  <c r="D830" i="5" s="1"/>
  <c r="C858" i="5"/>
  <c r="C857" i="5"/>
  <c r="C867" i="5"/>
  <c r="D867" i="5" s="1"/>
  <c r="C866" i="5"/>
  <c r="D866" i="5" s="1"/>
  <c r="D868" i="5" s="1"/>
  <c r="Y851" i="5"/>
  <c r="Z851" i="5" s="1"/>
  <c r="U889" i="5"/>
  <c r="AC890" i="5"/>
  <c r="AC891" i="5" s="1"/>
  <c r="L890" i="5"/>
  <c r="T890" i="5"/>
  <c r="U890" i="5" s="1"/>
  <c r="S891" i="5"/>
  <c r="H851" i="5"/>
  <c r="M851" i="5"/>
  <c r="C905" i="5"/>
  <c r="D905" i="5" s="1"/>
  <c r="C904" i="5"/>
  <c r="D904" i="5" s="1"/>
  <c r="D906" i="5" s="1"/>
  <c r="S889" i="5"/>
  <c r="X889" i="5"/>
  <c r="W890" i="5"/>
  <c r="T891" i="5"/>
  <c r="C896" i="5"/>
  <c r="H181" i="12"/>
  <c r="L144" i="12"/>
  <c r="L106" i="12"/>
  <c r="H106" i="12"/>
  <c r="H69" i="12"/>
  <c r="P898" i="12"/>
  <c r="P897" i="12"/>
  <c r="P896" i="12"/>
  <c r="P895" i="12"/>
  <c r="P860" i="12"/>
  <c r="P859" i="12"/>
  <c r="P858" i="12"/>
  <c r="P857" i="12"/>
  <c r="P861" i="12" s="1"/>
  <c r="P822" i="12"/>
  <c r="P821" i="12"/>
  <c r="P820" i="12"/>
  <c r="P819" i="12"/>
  <c r="P823" i="12" s="1"/>
  <c r="P784" i="12"/>
  <c r="P783" i="12"/>
  <c r="P782" i="12"/>
  <c r="P781" i="12"/>
  <c r="P785" i="12" s="1"/>
  <c r="P746" i="12"/>
  <c r="P745" i="12"/>
  <c r="P744" i="12"/>
  <c r="P743" i="12"/>
  <c r="P747" i="12" s="1"/>
  <c r="P708" i="12"/>
  <c r="P707" i="12"/>
  <c r="P706" i="12"/>
  <c r="P705" i="12"/>
  <c r="P709" i="12" s="1"/>
  <c r="P670" i="12"/>
  <c r="P669" i="12"/>
  <c r="P668" i="12"/>
  <c r="P667" i="12"/>
  <c r="P671" i="12" s="1"/>
  <c r="P632" i="12"/>
  <c r="P631" i="12"/>
  <c r="P630" i="12"/>
  <c r="P629" i="12"/>
  <c r="P633" i="12" s="1"/>
  <c r="P594" i="12"/>
  <c r="P593" i="12"/>
  <c r="P592" i="12"/>
  <c r="P591" i="12"/>
  <c r="P595" i="12" s="1"/>
  <c r="P556" i="12"/>
  <c r="P555" i="12"/>
  <c r="P554" i="12"/>
  <c r="P553" i="12"/>
  <c r="P557" i="12" s="1"/>
  <c r="P518" i="12"/>
  <c r="P517" i="12"/>
  <c r="P516" i="12"/>
  <c r="P515" i="12"/>
  <c r="P480" i="12"/>
  <c r="P479" i="12"/>
  <c r="P478" i="12"/>
  <c r="P477" i="12"/>
  <c r="P481" i="12" s="1"/>
  <c r="P442" i="12"/>
  <c r="P441" i="12"/>
  <c r="P440" i="12"/>
  <c r="P439" i="12"/>
  <c r="P404" i="12"/>
  <c r="P403" i="12"/>
  <c r="P402" i="12"/>
  <c r="P401" i="12"/>
  <c r="P405" i="12" s="1"/>
  <c r="P366" i="12"/>
  <c r="P365" i="12"/>
  <c r="P364" i="12"/>
  <c r="P363" i="12"/>
  <c r="P367" i="12" s="1"/>
  <c r="P328" i="12"/>
  <c r="P327" i="12"/>
  <c r="P326" i="12"/>
  <c r="P325" i="12"/>
  <c r="P329" i="12" s="1"/>
  <c r="P290" i="12"/>
  <c r="P289" i="12"/>
  <c r="P288" i="12"/>
  <c r="P287" i="12"/>
  <c r="P291" i="12" s="1"/>
  <c r="P251" i="12"/>
  <c r="P250" i="12"/>
  <c r="P249" i="12"/>
  <c r="P248" i="12"/>
  <c r="P252" i="12" s="1"/>
  <c r="P213" i="12"/>
  <c r="P212" i="12"/>
  <c r="P211" i="12"/>
  <c r="P210" i="12"/>
  <c r="P175" i="12"/>
  <c r="P174" i="12"/>
  <c r="P173" i="12"/>
  <c r="P172" i="12"/>
  <c r="P176" i="12" s="1"/>
  <c r="P137" i="12"/>
  <c r="P136" i="12"/>
  <c r="P135" i="12"/>
  <c r="P134" i="12"/>
  <c r="P138" i="12" s="1"/>
  <c r="P99" i="12"/>
  <c r="P98" i="12"/>
  <c r="P97" i="12"/>
  <c r="P96" i="12"/>
  <c r="P100" i="12" s="1"/>
  <c r="P61" i="12"/>
  <c r="P60" i="12"/>
  <c r="P59" i="12"/>
  <c r="P58" i="12"/>
  <c r="H31" i="12"/>
  <c r="P23" i="12"/>
  <c r="P22" i="12"/>
  <c r="P899" i="12"/>
  <c r="E892" i="12"/>
  <c r="E891" i="12"/>
  <c r="E890" i="12"/>
  <c r="V889" i="12"/>
  <c r="W889" i="12" s="1"/>
  <c r="T889" i="12"/>
  <c r="Q889" i="12"/>
  <c r="L889" i="12"/>
  <c r="J889" i="12"/>
  <c r="H889" i="12"/>
  <c r="G889" i="12"/>
  <c r="E889" i="12"/>
  <c r="R889" i="12" s="1"/>
  <c r="T884" i="12"/>
  <c r="T883" i="12"/>
  <c r="T882" i="12"/>
  <c r="T881" i="12"/>
  <c r="E854" i="12"/>
  <c r="E853" i="12"/>
  <c r="E852" i="12"/>
  <c r="V851" i="12"/>
  <c r="T851" i="12"/>
  <c r="Q851" i="12"/>
  <c r="L851" i="12"/>
  <c r="J851" i="12"/>
  <c r="G851" i="12"/>
  <c r="E851" i="12"/>
  <c r="AC851" i="12" s="1"/>
  <c r="C867" i="12" s="1"/>
  <c r="D867" i="12" s="1"/>
  <c r="T846" i="12"/>
  <c r="T845" i="12"/>
  <c r="T844" i="12"/>
  <c r="T843" i="12"/>
  <c r="E816" i="12"/>
  <c r="E815" i="12"/>
  <c r="E814" i="12"/>
  <c r="Y813" i="12"/>
  <c r="V813" i="12"/>
  <c r="Q813" i="12"/>
  <c r="T813" i="12" s="1"/>
  <c r="O813" i="12"/>
  <c r="L813" i="12"/>
  <c r="J813" i="12"/>
  <c r="G813" i="12"/>
  <c r="E813" i="12"/>
  <c r="T808" i="12"/>
  <c r="T807" i="12"/>
  <c r="T806" i="12"/>
  <c r="T805" i="12"/>
  <c r="C782" i="12"/>
  <c r="C781" i="12"/>
  <c r="E778" i="12"/>
  <c r="E777" i="12"/>
  <c r="AC776" i="12"/>
  <c r="E776" i="12"/>
  <c r="AC775" i="12"/>
  <c r="Y775" i="12"/>
  <c r="W775" i="12"/>
  <c r="V775" i="12"/>
  <c r="S775" i="12"/>
  <c r="Q775" i="12"/>
  <c r="R775" i="12" s="1"/>
  <c r="Q776" i="12" s="1"/>
  <c r="M775" i="12"/>
  <c r="L775" i="12"/>
  <c r="O775" i="12" s="1"/>
  <c r="H775" i="12"/>
  <c r="G775" i="12"/>
  <c r="J775" i="12" s="1"/>
  <c r="E775" i="12"/>
  <c r="T770" i="12"/>
  <c r="T769" i="12"/>
  <c r="T768" i="12"/>
  <c r="T767" i="12"/>
  <c r="E740" i="12"/>
  <c r="E739" i="12"/>
  <c r="E738" i="12"/>
  <c r="Y737" i="12"/>
  <c r="V737" i="12"/>
  <c r="Q737" i="12"/>
  <c r="O737" i="12"/>
  <c r="L737" i="12"/>
  <c r="J737" i="12"/>
  <c r="G737" i="12"/>
  <c r="E737" i="12"/>
  <c r="T732" i="12"/>
  <c r="T731" i="12"/>
  <c r="T730" i="12"/>
  <c r="T729" i="12"/>
  <c r="C706" i="12"/>
  <c r="E702" i="12"/>
  <c r="E701" i="12"/>
  <c r="E700" i="12"/>
  <c r="AC699" i="12"/>
  <c r="V699" i="12"/>
  <c r="Q699" i="12"/>
  <c r="M699" i="12"/>
  <c r="L699" i="12"/>
  <c r="O699" i="12" s="1"/>
  <c r="J699" i="12"/>
  <c r="H699" i="12"/>
  <c r="G699" i="12"/>
  <c r="E699" i="12"/>
  <c r="T694" i="12"/>
  <c r="T693" i="12"/>
  <c r="T692" i="12"/>
  <c r="T691" i="12"/>
  <c r="E664" i="12"/>
  <c r="E663" i="12"/>
  <c r="E662" i="12"/>
  <c r="V661" i="12"/>
  <c r="Q661" i="12"/>
  <c r="T661" i="12" s="1"/>
  <c r="O661" i="12"/>
  <c r="L661" i="12"/>
  <c r="J661" i="12"/>
  <c r="G661" i="12"/>
  <c r="E661" i="12"/>
  <c r="T656" i="12"/>
  <c r="T655" i="12"/>
  <c r="T654" i="12"/>
  <c r="T653" i="12"/>
  <c r="C630" i="12"/>
  <c r="C629" i="12"/>
  <c r="E626" i="12"/>
  <c r="E625" i="12"/>
  <c r="AC624" i="12"/>
  <c r="E624" i="12"/>
  <c r="AC623" i="12"/>
  <c r="Y623" i="12"/>
  <c r="W623" i="12"/>
  <c r="V623" i="12"/>
  <c r="S623" i="12"/>
  <c r="Q623" i="12"/>
  <c r="R623" i="12" s="1"/>
  <c r="Q624" i="12" s="1"/>
  <c r="M623" i="12"/>
  <c r="L623" i="12"/>
  <c r="O623" i="12" s="1"/>
  <c r="H623" i="12"/>
  <c r="G623" i="12"/>
  <c r="J623" i="12" s="1"/>
  <c r="E623" i="12"/>
  <c r="T618" i="12"/>
  <c r="T617" i="12"/>
  <c r="T616" i="12"/>
  <c r="T615" i="12"/>
  <c r="E588" i="12"/>
  <c r="E587" i="12"/>
  <c r="E586" i="12"/>
  <c r="V585" i="12"/>
  <c r="Q585" i="12"/>
  <c r="O585" i="12"/>
  <c r="L585" i="12"/>
  <c r="G585" i="12"/>
  <c r="E585" i="12"/>
  <c r="AC585" i="12" s="1"/>
  <c r="T580" i="12"/>
  <c r="T579" i="12"/>
  <c r="T578" i="12"/>
  <c r="T577" i="12"/>
  <c r="E550" i="12"/>
  <c r="E549" i="12"/>
  <c r="Y548" i="12"/>
  <c r="E548" i="12"/>
  <c r="AC547" i="12"/>
  <c r="Y547" i="12"/>
  <c r="X547" i="12"/>
  <c r="W547" i="12"/>
  <c r="V548" i="12" s="1"/>
  <c r="W548" i="12" s="1"/>
  <c r="V547" i="12"/>
  <c r="T547" i="12"/>
  <c r="U547" i="12" s="1"/>
  <c r="S547" i="12"/>
  <c r="Q547" i="12"/>
  <c r="R547" i="12" s="1"/>
  <c r="Q548" i="12" s="1"/>
  <c r="R548" i="12" s="1"/>
  <c r="O547" i="12"/>
  <c r="P547" i="12" s="1"/>
  <c r="M547" i="12"/>
  <c r="N547" i="12" s="1"/>
  <c r="L547" i="12"/>
  <c r="I547" i="12"/>
  <c r="H547" i="12"/>
  <c r="G548" i="12" s="1"/>
  <c r="G547" i="12"/>
  <c r="J547" i="12" s="1"/>
  <c r="K547" i="12" s="1"/>
  <c r="E547" i="12"/>
  <c r="T542" i="12"/>
  <c r="T541" i="12"/>
  <c r="T540" i="12"/>
  <c r="T539" i="12"/>
  <c r="E512" i="12"/>
  <c r="E511" i="12"/>
  <c r="V510" i="12"/>
  <c r="E510" i="12"/>
  <c r="V509" i="12"/>
  <c r="W509" i="12" s="1"/>
  <c r="X509" i="12" s="1"/>
  <c r="R509" i="12"/>
  <c r="Q509" i="12"/>
  <c r="T509" i="12" s="1"/>
  <c r="L509" i="12"/>
  <c r="J509" i="12"/>
  <c r="G509" i="12"/>
  <c r="E509" i="12"/>
  <c r="AC509" i="12" s="1"/>
  <c r="T504" i="12"/>
  <c r="T503" i="12"/>
  <c r="T502" i="12"/>
  <c r="T501" i="12"/>
  <c r="D487" i="12"/>
  <c r="C477" i="12"/>
  <c r="E474" i="12"/>
  <c r="E473" i="12"/>
  <c r="E472" i="12"/>
  <c r="W471" i="12"/>
  <c r="V471" i="12"/>
  <c r="Y471" i="12" s="1"/>
  <c r="T471" i="12"/>
  <c r="R471" i="12"/>
  <c r="Q471" i="12"/>
  <c r="L471" i="12"/>
  <c r="O471" i="12" s="1"/>
  <c r="H471" i="12"/>
  <c r="G471" i="12"/>
  <c r="J471" i="12" s="1"/>
  <c r="E471" i="12"/>
  <c r="AC471" i="12" s="1"/>
  <c r="C487" i="12" s="1"/>
  <c r="T466" i="12"/>
  <c r="T465" i="12"/>
  <c r="T464" i="12"/>
  <c r="T463" i="12"/>
  <c r="E436" i="12"/>
  <c r="E435" i="12"/>
  <c r="E434" i="12"/>
  <c r="AC433" i="12"/>
  <c r="V433" i="12"/>
  <c r="Y433" i="12" s="1"/>
  <c r="R433" i="12"/>
  <c r="Q433" i="12"/>
  <c r="T433" i="12" s="1"/>
  <c r="M433" i="12"/>
  <c r="L433" i="12"/>
  <c r="O433" i="12" s="1"/>
  <c r="J433" i="12"/>
  <c r="H433" i="12"/>
  <c r="G433" i="12"/>
  <c r="E433" i="12"/>
  <c r="T428" i="12"/>
  <c r="T427" i="12"/>
  <c r="T426" i="12"/>
  <c r="T425" i="12"/>
  <c r="C411" i="12"/>
  <c r="D411" i="12" s="1"/>
  <c r="C410" i="12"/>
  <c r="D410" i="12" s="1"/>
  <c r="D412" i="12" s="1"/>
  <c r="C402" i="12"/>
  <c r="C401" i="12"/>
  <c r="E398" i="12"/>
  <c r="E397" i="12"/>
  <c r="V396" i="12"/>
  <c r="E396" i="12"/>
  <c r="AC396" i="12" s="1"/>
  <c r="Y395" i="12"/>
  <c r="Z395" i="12" s="1"/>
  <c r="W395" i="12"/>
  <c r="X395" i="12" s="1"/>
  <c r="V395" i="12"/>
  <c r="Q395" i="12"/>
  <c r="O395" i="12"/>
  <c r="M395" i="12"/>
  <c r="L395" i="12"/>
  <c r="I395" i="12"/>
  <c r="G395" i="12"/>
  <c r="H395" i="12" s="1"/>
  <c r="G396" i="12" s="1"/>
  <c r="E395" i="12"/>
  <c r="AC395" i="12" s="1"/>
  <c r="T390" i="12"/>
  <c r="T389" i="12"/>
  <c r="T388" i="12"/>
  <c r="T387" i="12"/>
  <c r="E360" i="12"/>
  <c r="E359" i="12"/>
  <c r="AC358" i="12"/>
  <c r="E358" i="12"/>
  <c r="AC357" i="12"/>
  <c r="W357" i="12"/>
  <c r="V357" i="12"/>
  <c r="Y357" i="12" s="1"/>
  <c r="R357" i="12"/>
  <c r="Q357" i="12"/>
  <c r="T357" i="12" s="1"/>
  <c r="O357" i="12"/>
  <c r="M357" i="12"/>
  <c r="L357" i="12"/>
  <c r="G357" i="12"/>
  <c r="J357" i="12" s="1"/>
  <c r="E357" i="12"/>
  <c r="T352" i="12"/>
  <c r="T351" i="12"/>
  <c r="T350" i="12"/>
  <c r="T349" i="12"/>
  <c r="F326" i="12"/>
  <c r="E322" i="12"/>
  <c r="E321" i="12"/>
  <c r="AC320" i="12"/>
  <c r="F327" i="12" s="1"/>
  <c r="E320" i="12"/>
  <c r="AC319" i="12"/>
  <c r="C326" i="12" s="1"/>
  <c r="Y319" i="12"/>
  <c r="W319" i="12"/>
  <c r="V320" i="12" s="1"/>
  <c r="Y320" i="12" s="1"/>
  <c r="V319" i="12"/>
  <c r="U319" i="12"/>
  <c r="T319" i="12"/>
  <c r="S319" i="12"/>
  <c r="Q319" i="12"/>
  <c r="R319" i="12" s="1"/>
  <c r="Q320" i="12" s="1"/>
  <c r="P319" i="12"/>
  <c r="O319" i="12"/>
  <c r="M319" i="12"/>
  <c r="N319" i="12" s="1"/>
  <c r="L319" i="12"/>
  <c r="H319" i="12"/>
  <c r="I319" i="12" s="1"/>
  <c r="K319" i="12" s="1"/>
  <c r="G319" i="12"/>
  <c r="J319" i="12" s="1"/>
  <c r="E319" i="12"/>
  <c r="T314" i="12"/>
  <c r="T313" i="12"/>
  <c r="T312" i="12"/>
  <c r="T311" i="12"/>
  <c r="C297" i="12"/>
  <c r="D297" i="12" s="1"/>
  <c r="C288" i="12"/>
  <c r="E284" i="12"/>
  <c r="E283" i="12"/>
  <c r="V282" i="12"/>
  <c r="E282" i="12"/>
  <c r="AC282" i="12" s="1"/>
  <c r="AC281" i="12"/>
  <c r="C287" i="12" s="1"/>
  <c r="Y281" i="12"/>
  <c r="Z281" i="12" s="1"/>
  <c r="V281" i="12"/>
  <c r="W281" i="12" s="1"/>
  <c r="X281" i="12" s="1"/>
  <c r="Q281" i="12"/>
  <c r="T281" i="12" s="1"/>
  <c r="O281" i="12"/>
  <c r="N281" i="12"/>
  <c r="M281" i="12"/>
  <c r="L282" i="12" s="1"/>
  <c r="O282" i="12" s="1"/>
  <c r="L281" i="12"/>
  <c r="J281" i="12"/>
  <c r="K281" i="12" s="1"/>
  <c r="G281" i="12"/>
  <c r="H281" i="12" s="1"/>
  <c r="I281" i="12" s="1"/>
  <c r="E281" i="12"/>
  <c r="T276" i="12"/>
  <c r="T275" i="12"/>
  <c r="T274" i="12"/>
  <c r="T273" i="12"/>
  <c r="C248" i="12"/>
  <c r="E245" i="12"/>
  <c r="E244" i="12"/>
  <c r="E243" i="12"/>
  <c r="AC242" i="12"/>
  <c r="C249" i="12" s="1"/>
  <c r="Y242" i="12"/>
  <c r="W242" i="12"/>
  <c r="V242" i="12"/>
  <c r="S242" i="12"/>
  <c r="Q242" i="12"/>
  <c r="R242" i="12" s="1"/>
  <c r="Q243" i="12" s="1"/>
  <c r="O242" i="12"/>
  <c r="P242" i="12" s="1"/>
  <c r="M242" i="12"/>
  <c r="N242" i="12" s="1"/>
  <c r="L242" i="12"/>
  <c r="G242" i="12"/>
  <c r="E242" i="12"/>
  <c r="T237" i="12"/>
  <c r="T236" i="12"/>
  <c r="T235" i="12"/>
  <c r="T234" i="12"/>
  <c r="E207" i="12"/>
  <c r="E206" i="12"/>
  <c r="E205" i="12"/>
  <c r="AC204" i="12"/>
  <c r="Y204" i="12"/>
  <c r="W204" i="12"/>
  <c r="V204" i="12"/>
  <c r="Q204" i="12"/>
  <c r="O204" i="12"/>
  <c r="M204" i="12"/>
  <c r="L204" i="12"/>
  <c r="G204" i="12"/>
  <c r="E204" i="12"/>
  <c r="T199" i="12"/>
  <c r="T198" i="12"/>
  <c r="T197" i="12"/>
  <c r="T196" i="12"/>
  <c r="E169" i="12"/>
  <c r="E168" i="12"/>
  <c r="E167" i="12"/>
  <c r="Y166" i="12"/>
  <c r="V166" i="12"/>
  <c r="Q166" i="12"/>
  <c r="T166" i="12" s="1"/>
  <c r="O166" i="12"/>
  <c r="L166" i="12"/>
  <c r="J166" i="12"/>
  <c r="G166" i="12"/>
  <c r="E166" i="12"/>
  <c r="AC166" i="12" s="1"/>
  <c r="T161" i="12"/>
  <c r="T160" i="12"/>
  <c r="T159" i="12"/>
  <c r="T158" i="12"/>
  <c r="C135" i="12"/>
  <c r="C134" i="12"/>
  <c r="E131" i="12"/>
  <c r="E130" i="12"/>
  <c r="AC129" i="12"/>
  <c r="G145" i="12" s="1"/>
  <c r="H145" i="12" s="1"/>
  <c r="E129" i="12"/>
  <c r="AC128" i="12"/>
  <c r="Y128" i="12"/>
  <c r="W128" i="12"/>
  <c r="V129" i="12" s="1"/>
  <c r="W129" i="12" s="1"/>
  <c r="V128" i="12"/>
  <c r="S128" i="12"/>
  <c r="Q128" i="12"/>
  <c r="R128" i="12" s="1"/>
  <c r="Q129" i="12" s="1"/>
  <c r="M128" i="12"/>
  <c r="N128" i="12" s="1"/>
  <c r="L128" i="12"/>
  <c r="O128" i="12" s="1"/>
  <c r="P128" i="12" s="1"/>
  <c r="H128" i="12"/>
  <c r="G129" i="12" s="1"/>
  <c r="G128" i="12"/>
  <c r="J128" i="12" s="1"/>
  <c r="E128" i="12"/>
  <c r="T123" i="12"/>
  <c r="T122" i="12"/>
  <c r="T121" i="12"/>
  <c r="T120" i="12"/>
  <c r="E93" i="12"/>
  <c r="E92" i="12"/>
  <c r="E91" i="12"/>
  <c r="AC91" i="12" s="1"/>
  <c r="V90" i="12"/>
  <c r="Y90" i="12" s="1"/>
  <c r="Q90" i="12"/>
  <c r="T90" i="12" s="1"/>
  <c r="O90" i="12"/>
  <c r="L90" i="12"/>
  <c r="G90" i="12"/>
  <c r="H90" i="12" s="1"/>
  <c r="G91" i="12" s="1"/>
  <c r="E90" i="12"/>
  <c r="AC90" i="12" s="1"/>
  <c r="T85" i="12"/>
  <c r="T84" i="12"/>
  <c r="T83" i="12"/>
  <c r="T82" i="12"/>
  <c r="P62" i="12"/>
  <c r="C58" i="12"/>
  <c r="E55" i="12"/>
  <c r="E54" i="12"/>
  <c r="E53" i="12"/>
  <c r="AC52" i="12"/>
  <c r="Y52" i="12"/>
  <c r="W52" i="12"/>
  <c r="V53" i="12" s="1"/>
  <c r="V52" i="12"/>
  <c r="Q52" i="12"/>
  <c r="R52" i="12" s="1"/>
  <c r="O52" i="12"/>
  <c r="P52" i="12" s="1"/>
  <c r="M52" i="12"/>
  <c r="N52" i="12" s="1"/>
  <c r="L52" i="12"/>
  <c r="G52" i="12"/>
  <c r="J52" i="12" s="1"/>
  <c r="E52" i="12"/>
  <c r="T47" i="12"/>
  <c r="T46" i="12"/>
  <c r="T45" i="12"/>
  <c r="T44" i="12"/>
  <c r="P21" i="12"/>
  <c r="P20" i="12"/>
  <c r="P24" i="12" s="1"/>
  <c r="E17" i="12"/>
  <c r="E16" i="12"/>
  <c r="E15" i="12"/>
  <c r="AC14" i="12"/>
  <c r="C21" i="12" s="1"/>
  <c r="Y14" i="12"/>
  <c r="W14" i="12"/>
  <c r="X14" i="12" s="1"/>
  <c r="V14" i="12"/>
  <c r="Q14" i="12"/>
  <c r="T14" i="12" s="1"/>
  <c r="O14" i="12"/>
  <c r="M14" i="12"/>
  <c r="L15" i="12" s="1"/>
  <c r="L14" i="12"/>
  <c r="G14" i="12"/>
  <c r="H14" i="12" s="1"/>
  <c r="E14" i="12"/>
  <c r="T9" i="12"/>
  <c r="T8" i="12"/>
  <c r="T7" i="12"/>
  <c r="T6" i="12"/>
  <c r="P898" i="13"/>
  <c r="P897" i="13"/>
  <c r="P896" i="13"/>
  <c r="P895" i="13"/>
  <c r="P899" i="13" s="1"/>
  <c r="E892" i="13"/>
  <c r="E891" i="13"/>
  <c r="E890" i="13"/>
  <c r="V889" i="13"/>
  <c r="W889" i="13" s="1"/>
  <c r="T889" i="13"/>
  <c r="Q889" i="13"/>
  <c r="L889" i="13"/>
  <c r="O889" i="13" s="1"/>
  <c r="J889" i="13"/>
  <c r="H889" i="13"/>
  <c r="G890" i="13" s="1"/>
  <c r="G889" i="13"/>
  <c r="E889" i="13"/>
  <c r="R889" i="13" s="1"/>
  <c r="T884" i="13"/>
  <c r="T883" i="13"/>
  <c r="T882" i="13"/>
  <c r="T881" i="13"/>
  <c r="P860" i="13"/>
  <c r="P859" i="13"/>
  <c r="P858" i="13"/>
  <c r="C858" i="13"/>
  <c r="P857" i="13"/>
  <c r="P861" i="13" s="1"/>
  <c r="C857" i="13"/>
  <c r="E854" i="13"/>
  <c r="E853" i="13"/>
  <c r="E852" i="13"/>
  <c r="AC851" i="13"/>
  <c r="C867" i="13" s="1"/>
  <c r="D867" i="13" s="1"/>
  <c r="Y851" i="13"/>
  <c r="W851" i="13"/>
  <c r="V852" i="13" s="1"/>
  <c r="V851" i="13"/>
  <c r="Q851" i="13"/>
  <c r="R851" i="13" s="1"/>
  <c r="O851" i="13"/>
  <c r="M851" i="13"/>
  <c r="N851" i="13" s="1"/>
  <c r="L851" i="13"/>
  <c r="G851" i="13"/>
  <c r="J851" i="13" s="1"/>
  <c r="E851" i="13"/>
  <c r="T846" i="13"/>
  <c r="T845" i="13"/>
  <c r="T844" i="13"/>
  <c r="T843" i="13"/>
  <c r="P822" i="13"/>
  <c r="P821" i="13"/>
  <c r="P820" i="13"/>
  <c r="C820" i="13"/>
  <c r="P819" i="13"/>
  <c r="P823" i="13" s="1"/>
  <c r="C819" i="13"/>
  <c r="E816" i="13"/>
  <c r="E815" i="13"/>
  <c r="E814" i="13"/>
  <c r="AC813" i="13"/>
  <c r="C829" i="13" s="1"/>
  <c r="D829" i="13" s="1"/>
  <c r="Y813" i="13"/>
  <c r="W813" i="13"/>
  <c r="V814" i="13" s="1"/>
  <c r="V813" i="13"/>
  <c r="Q813" i="13"/>
  <c r="R813" i="13" s="1"/>
  <c r="O813" i="13"/>
  <c r="M813" i="13"/>
  <c r="N813" i="13" s="1"/>
  <c r="L813" i="13"/>
  <c r="G813" i="13"/>
  <c r="J813" i="13" s="1"/>
  <c r="E813" i="13"/>
  <c r="T808" i="13"/>
  <c r="T807" i="13"/>
  <c r="T806" i="13"/>
  <c r="T805" i="13"/>
  <c r="P784" i="13"/>
  <c r="P783" i="13"/>
  <c r="P782" i="13"/>
  <c r="P781" i="13"/>
  <c r="P785" i="13" s="1"/>
  <c r="E778" i="13"/>
  <c r="E777" i="13"/>
  <c r="E776" i="13"/>
  <c r="V775" i="13"/>
  <c r="Y775" i="13" s="1"/>
  <c r="Q775" i="13"/>
  <c r="T775" i="13" s="1"/>
  <c r="O775" i="13"/>
  <c r="L775" i="13"/>
  <c r="G775" i="13"/>
  <c r="J775" i="13" s="1"/>
  <c r="E775" i="13"/>
  <c r="R775" i="13" s="1"/>
  <c r="T770" i="13"/>
  <c r="T769" i="13"/>
  <c r="T768" i="13"/>
  <c r="T767" i="13"/>
  <c r="P746" i="13"/>
  <c r="P745" i="13"/>
  <c r="P744" i="13"/>
  <c r="C744" i="13"/>
  <c r="P743" i="13"/>
  <c r="P747" i="13" s="1"/>
  <c r="C743" i="13"/>
  <c r="E740" i="13"/>
  <c r="E739" i="13"/>
  <c r="E738" i="13"/>
  <c r="AC737" i="13"/>
  <c r="C753" i="13" s="1"/>
  <c r="D753" i="13" s="1"/>
  <c r="Y737" i="13"/>
  <c r="W737" i="13"/>
  <c r="V738" i="13" s="1"/>
  <c r="V737" i="13"/>
  <c r="Q737" i="13"/>
  <c r="R737" i="13" s="1"/>
  <c r="O737" i="13"/>
  <c r="M737" i="13"/>
  <c r="N737" i="13" s="1"/>
  <c r="L737" i="13"/>
  <c r="G737" i="13"/>
  <c r="J737" i="13" s="1"/>
  <c r="E737" i="13"/>
  <c r="T732" i="13"/>
  <c r="T731" i="13"/>
  <c r="T730" i="13"/>
  <c r="T729" i="13"/>
  <c r="P708" i="13"/>
  <c r="P707" i="13"/>
  <c r="P706" i="13"/>
  <c r="P705" i="13"/>
  <c r="P709" i="13" s="1"/>
  <c r="E702" i="13"/>
  <c r="E701" i="13"/>
  <c r="E700" i="13"/>
  <c r="V699" i="13"/>
  <c r="W699" i="13" s="1"/>
  <c r="T699" i="13"/>
  <c r="Q699" i="13"/>
  <c r="L699" i="13"/>
  <c r="O699" i="13" s="1"/>
  <c r="J699" i="13"/>
  <c r="G699" i="13"/>
  <c r="E699" i="13"/>
  <c r="R699" i="13" s="1"/>
  <c r="T694" i="13"/>
  <c r="T693" i="13"/>
  <c r="T692" i="13"/>
  <c r="T691" i="13"/>
  <c r="P670" i="13"/>
  <c r="P669" i="13"/>
  <c r="P668" i="13"/>
  <c r="P667" i="13"/>
  <c r="P671" i="13" s="1"/>
  <c r="E664" i="13"/>
  <c r="E663" i="13"/>
  <c r="E662" i="13"/>
  <c r="AC661" i="13"/>
  <c r="C668" i="13" s="1"/>
  <c r="Y661" i="13"/>
  <c r="V661" i="13"/>
  <c r="W661" i="13" s="1"/>
  <c r="T661" i="13"/>
  <c r="Q661" i="13"/>
  <c r="R661" i="13" s="1"/>
  <c r="L661" i="13"/>
  <c r="O661" i="13" s="1"/>
  <c r="J661" i="13"/>
  <c r="H661" i="13"/>
  <c r="G662" i="13" s="1"/>
  <c r="G661" i="13"/>
  <c r="E661" i="13"/>
  <c r="T656" i="13"/>
  <c r="T655" i="13"/>
  <c r="T654" i="13"/>
  <c r="T653" i="13"/>
  <c r="L641" i="13"/>
  <c r="L640" i="13"/>
  <c r="H640" i="13"/>
  <c r="P632" i="13"/>
  <c r="P631" i="13"/>
  <c r="P630" i="13"/>
  <c r="P629" i="13"/>
  <c r="P633" i="13" s="1"/>
  <c r="E626" i="13"/>
  <c r="E625" i="13"/>
  <c r="Y624" i="13"/>
  <c r="Q624" i="13"/>
  <c r="E624" i="13"/>
  <c r="H624" i="13" s="1"/>
  <c r="G625" i="13" s="1"/>
  <c r="J625" i="13" s="1"/>
  <c r="AC623" i="13"/>
  <c r="Y623" i="13"/>
  <c r="V623" i="13"/>
  <c r="W623" i="13" s="1"/>
  <c r="V624" i="13" s="1"/>
  <c r="T623" i="13"/>
  <c r="U623" i="13" s="1"/>
  <c r="Q623" i="13"/>
  <c r="R623" i="13" s="1"/>
  <c r="S623" i="13" s="1"/>
  <c r="L623" i="13"/>
  <c r="O623" i="13" s="1"/>
  <c r="J623" i="13"/>
  <c r="H623" i="13"/>
  <c r="G624" i="13" s="1"/>
  <c r="J624" i="13" s="1"/>
  <c r="G623" i="13"/>
  <c r="E623" i="13"/>
  <c r="T618" i="13"/>
  <c r="T617" i="13"/>
  <c r="T616" i="13"/>
  <c r="T615" i="13"/>
  <c r="L603" i="13"/>
  <c r="L602" i="13"/>
  <c r="P594" i="13"/>
  <c r="P593" i="13"/>
  <c r="P592" i="13"/>
  <c r="P591" i="13"/>
  <c r="P595" i="13" s="1"/>
  <c r="E588" i="13"/>
  <c r="E587" i="13"/>
  <c r="E586" i="13"/>
  <c r="Y585" i="13"/>
  <c r="V585" i="13"/>
  <c r="W585" i="13" s="1"/>
  <c r="V586" i="13" s="1"/>
  <c r="T585" i="13"/>
  <c r="Q585" i="13"/>
  <c r="R585" i="13" s="1"/>
  <c r="L585" i="13"/>
  <c r="J585" i="13"/>
  <c r="H585" i="13"/>
  <c r="G585" i="13"/>
  <c r="E585" i="13"/>
  <c r="AC585" i="13" s="1"/>
  <c r="T580" i="13"/>
  <c r="T579" i="13"/>
  <c r="T578" i="13"/>
  <c r="T577" i="13"/>
  <c r="L565" i="13"/>
  <c r="L564" i="13"/>
  <c r="H564" i="13"/>
  <c r="P556" i="13"/>
  <c r="P555" i="13"/>
  <c r="P554" i="13"/>
  <c r="P553" i="13"/>
  <c r="E550" i="13"/>
  <c r="E549" i="13"/>
  <c r="Y548" i="13"/>
  <c r="E548" i="13"/>
  <c r="H548" i="13" s="1"/>
  <c r="G549" i="13" s="1"/>
  <c r="J549" i="13" s="1"/>
  <c r="AC547" i="13"/>
  <c r="Y547" i="13"/>
  <c r="X547" i="13"/>
  <c r="V547" i="13"/>
  <c r="W547" i="13" s="1"/>
  <c r="V548" i="13" s="1"/>
  <c r="Q547" i="13"/>
  <c r="R547" i="13" s="1"/>
  <c r="S547" i="13" s="1"/>
  <c r="L547" i="13"/>
  <c r="O547" i="13" s="1"/>
  <c r="J547" i="13"/>
  <c r="H547" i="13"/>
  <c r="G548" i="13" s="1"/>
  <c r="J548" i="13" s="1"/>
  <c r="G547" i="13"/>
  <c r="E547" i="13"/>
  <c r="T542" i="13"/>
  <c r="T541" i="13"/>
  <c r="T540" i="13"/>
  <c r="T539" i="13"/>
  <c r="H526" i="13"/>
  <c r="P518" i="13"/>
  <c r="P517" i="13"/>
  <c r="P516" i="13"/>
  <c r="C516" i="13"/>
  <c r="P515" i="13"/>
  <c r="P519" i="13" s="1"/>
  <c r="C515" i="13"/>
  <c r="E512" i="13"/>
  <c r="E511" i="13"/>
  <c r="E510" i="13"/>
  <c r="AC509" i="13"/>
  <c r="C525" i="13" s="1"/>
  <c r="D525" i="13" s="1"/>
  <c r="Y509" i="13"/>
  <c r="W509" i="13"/>
  <c r="V510" i="13" s="1"/>
  <c r="V509" i="13"/>
  <c r="Q509" i="13"/>
  <c r="R509" i="13" s="1"/>
  <c r="O509" i="13"/>
  <c r="M509" i="13"/>
  <c r="N509" i="13" s="1"/>
  <c r="L509" i="13"/>
  <c r="G509" i="13"/>
  <c r="J509" i="13" s="1"/>
  <c r="E509" i="13"/>
  <c r="T504" i="13"/>
  <c r="T503" i="13"/>
  <c r="T502" i="13"/>
  <c r="T501" i="13"/>
  <c r="H488" i="13"/>
  <c r="P480" i="13"/>
  <c r="P479" i="13"/>
  <c r="P478" i="13"/>
  <c r="P477" i="13"/>
  <c r="P481" i="13" s="1"/>
  <c r="E474" i="13"/>
  <c r="E473" i="13"/>
  <c r="E472" i="13"/>
  <c r="AC471" i="13"/>
  <c r="V471" i="13"/>
  <c r="Q471" i="13"/>
  <c r="T471" i="13" s="1"/>
  <c r="O471" i="13"/>
  <c r="L471" i="13"/>
  <c r="J471" i="13"/>
  <c r="G471" i="13"/>
  <c r="E471" i="13"/>
  <c r="M471" i="13" s="1"/>
  <c r="T466" i="13"/>
  <c r="T465" i="13"/>
  <c r="T464" i="13"/>
  <c r="T463" i="13"/>
  <c r="H450" i="13"/>
  <c r="E434" i="13"/>
  <c r="E435" i="13"/>
  <c r="E436" i="13"/>
  <c r="H412" i="13"/>
  <c r="E396" i="13"/>
  <c r="E397" i="13"/>
  <c r="E398" i="13"/>
  <c r="L372" i="13"/>
  <c r="E358" i="13"/>
  <c r="E359" i="13"/>
  <c r="E360" i="13"/>
  <c r="L335" i="13"/>
  <c r="L334" i="13"/>
  <c r="H335" i="13"/>
  <c r="H334" i="13"/>
  <c r="E320" i="13"/>
  <c r="E321" i="13"/>
  <c r="E322" i="13"/>
  <c r="P442" i="13"/>
  <c r="P441" i="13"/>
  <c r="P440" i="13"/>
  <c r="P439" i="13"/>
  <c r="P443" i="13" s="1"/>
  <c r="AC433" i="13"/>
  <c r="C440" i="13" s="1"/>
  <c r="Y433" i="13"/>
  <c r="V433" i="13"/>
  <c r="T433" i="13"/>
  <c r="Q433" i="13"/>
  <c r="R433" i="13" s="1"/>
  <c r="L433" i="13"/>
  <c r="O433" i="13" s="1"/>
  <c r="H433" i="13"/>
  <c r="G434" i="13" s="1"/>
  <c r="G433" i="13"/>
  <c r="J433" i="13" s="1"/>
  <c r="E433" i="13"/>
  <c r="W433" i="13" s="1"/>
  <c r="T428" i="13"/>
  <c r="T427" i="13"/>
  <c r="T426" i="13"/>
  <c r="T425" i="13"/>
  <c r="P404" i="13"/>
  <c r="P403" i="13"/>
  <c r="P402" i="13"/>
  <c r="P401" i="13"/>
  <c r="P405" i="13" s="1"/>
  <c r="Y396" i="13"/>
  <c r="Q396" i="13"/>
  <c r="H396" i="13"/>
  <c r="G397" i="13" s="1"/>
  <c r="J397" i="13" s="1"/>
  <c r="AC395" i="13"/>
  <c r="Y395" i="13"/>
  <c r="V395" i="13"/>
  <c r="W395" i="13" s="1"/>
  <c r="V396" i="13" s="1"/>
  <c r="T395" i="13"/>
  <c r="U395" i="13" s="1"/>
  <c r="Q395" i="13"/>
  <c r="R395" i="13" s="1"/>
  <c r="S395" i="13" s="1"/>
  <c r="L395" i="13"/>
  <c r="O395" i="13" s="1"/>
  <c r="J395" i="13"/>
  <c r="H395" i="13"/>
  <c r="G396" i="13" s="1"/>
  <c r="J396" i="13" s="1"/>
  <c r="G395" i="13"/>
  <c r="E395" i="13"/>
  <c r="T390" i="13"/>
  <c r="T389" i="13"/>
  <c r="T388" i="13"/>
  <c r="T387" i="13"/>
  <c r="C373" i="13"/>
  <c r="D373" i="13" s="1"/>
  <c r="C372" i="13"/>
  <c r="D372" i="13" s="1"/>
  <c r="D374" i="13" s="1"/>
  <c r="P366" i="13"/>
  <c r="P365" i="13"/>
  <c r="P364" i="13"/>
  <c r="C364" i="13"/>
  <c r="P363" i="13"/>
  <c r="P367" i="13" s="1"/>
  <c r="AC358" i="13"/>
  <c r="G374" i="13" s="1"/>
  <c r="H374" i="13" s="1"/>
  <c r="V357" i="13"/>
  <c r="Y357" i="13" s="1"/>
  <c r="T357" i="13"/>
  <c r="Q357" i="13"/>
  <c r="O357" i="13"/>
  <c r="L357" i="13"/>
  <c r="G357" i="13"/>
  <c r="H357" i="13" s="1"/>
  <c r="I357" i="13" s="1"/>
  <c r="E357" i="13"/>
  <c r="AC357" i="13" s="1"/>
  <c r="C363" i="13" s="1"/>
  <c r="T352" i="13"/>
  <c r="T351" i="13"/>
  <c r="T350" i="13"/>
  <c r="T349" i="13"/>
  <c r="P328" i="13"/>
  <c r="P327" i="13"/>
  <c r="P326" i="13"/>
  <c r="P325" i="13"/>
  <c r="P329" i="13" s="1"/>
  <c r="X319" i="13"/>
  <c r="W319" i="13"/>
  <c r="V320" i="13" s="1"/>
  <c r="V319" i="13"/>
  <c r="Y319" i="13" s="1"/>
  <c r="Z319" i="13" s="1"/>
  <c r="T319" i="13"/>
  <c r="Q319" i="13"/>
  <c r="L319" i="13"/>
  <c r="O319" i="13" s="1"/>
  <c r="H319" i="13"/>
  <c r="G320" i="13" s="1"/>
  <c r="G319" i="13"/>
  <c r="J319" i="13" s="1"/>
  <c r="E319" i="13"/>
  <c r="R319" i="13" s="1"/>
  <c r="T314" i="13"/>
  <c r="T313" i="13"/>
  <c r="T312" i="13"/>
  <c r="T311" i="13"/>
  <c r="L299" i="13"/>
  <c r="L298" i="13"/>
  <c r="L297" i="13"/>
  <c r="L296" i="13"/>
  <c r="H298" i="13"/>
  <c r="H297" i="13"/>
  <c r="H296" i="13"/>
  <c r="P290" i="13"/>
  <c r="P289" i="13"/>
  <c r="P288" i="13"/>
  <c r="P287" i="13"/>
  <c r="P291" i="13" s="1"/>
  <c r="E284" i="13"/>
  <c r="E283" i="13"/>
  <c r="E282" i="13"/>
  <c r="V281" i="13"/>
  <c r="W281" i="13" s="1"/>
  <c r="X281" i="13" s="1"/>
  <c r="Q281" i="13"/>
  <c r="T281" i="13" s="1"/>
  <c r="O281" i="13"/>
  <c r="L281" i="13"/>
  <c r="J281" i="13"/>
  <c r="G281" i="13"/>
  <c r="E281" i="13"/>
  <c r="AC281" i="13" s="1"/>
  <c r="T276" i="13"/>
  <c r="T275" i="13"/>
  <c r="T274" i="13"/>
  <c r="T273" i="13"/>
  <c r="P251" i="13"/>
  <c r="P250" i="13"/>
  <c r="P249" i="13"/>
  <c r="P248" i="13"/>
  <c r="E245" i="13"/>
  <c r="E244" i="13"/>
  <c r="E243" i="13"/>
  <c r="V242" i="13"/>
  <c r="Y242" i="13" s="1"/>
  <c r="Q242" i="13"/>
  <c r="T242" i="13" s="1"/>
  <c r="L242" i="13"/>
  <c r="G242" i="13"/>
  <c r="J242" i="13" s="1"/>
  <c r="E242" i="13"/>
  <c r="AC242" i="13" s="1"/>
  <c r="C258" i="13" s="1"/>
  <c r="D258" i="13" s="1"/>
  <c r="T237" i="13"/>
  <c r="T236" i="13"/>
  <c r="T235" i="13"/>
  <c r="T234" i="13"/>
  <c r="T14" i="18" l="1"/>
  <c r="R14" i="18"/>
  <c r="G15" i="18"/>
  <c r="I14" i="18"/>
  <c r="K14" i="18" s="1"/>
  <c r="W14" i="18"/>
  <c r="Y14" i="18"/>
  <c r="B19" i="18"/>
  <c r="N13" i="18"/>
  <c r="P13" i="18" s="1"/>
  <c r="AA13" i="18" s="1"/>
  <c r="L14" i="18"/>
  <c r="L22" i="18"/>
  <c r="L20" i="18"/>
  <c r="U24" i="18"/>
  <c r="L21" i="18"/>
  <c r="L19" i="18"/>
  <c r="L18" i="18"/>
  <c r="U23" i="18"/>
  <c r="L22" i="17"/>
  <c r="L20" i="17"/>
  <c r="U24" i="17"/>
  <c r="L21" i="17"/>
  <c r="L19" i="17"/>
  <c r="L18" i="17"/>
  <c r="U23" i="17"/>
  <c r="R15" i="17"/>
  <c r="S15" i="17" s="1"/>
  <c r="T15" i="17"/>
  <c r="K15" i="17"/>
  <c r="B19" i="17"/>
  <c r="N13" i="17"/>
  <c r="P13" i="17" s="1"/>
  <c r="AA13" i="17" s="1"/>
  <c r="L14" i="17"/>
  <c r="B18" i="16"/>
  <c r="R18" i="16"/>
  <c r="L22" i="16"/>
  <c r="L20" i="16"/>
  <c r="U24" i="16"/>
  <c r="L21" i="16"/>
  <c r="L19" i="16"/>
  <c r="L18" i="16"/>
  <c r="U23" i="16"/>
  <c r="I13" i="16"/>
  <c r="K13" i="16" s="1"/>
  <c r="G14" i="16"/>
  <c r="R14" i="16"/>
  <c r="T14" i="16"/>
  <c r="V15" i="16"/>
  <c r="X14" i="16"/>
  <c r="Z14" i="16" s="1"/>
  <c r="N13" i="16"/>
  <c r="P13" i="16" s="1"/>
  <c r="L14" i="16"/>
  <c r="L367" i="6"/>
  <c r="O375" i="6"/>
  <c r="O373" i="6"/>
  <c r="O372" i="6"/>
  <c r="L366" i="6"/>
  <c r="L365" i="6"/>
  <c r="L363" i="6"/>
  <c r="L364" i="6"/>
  <c r="O374" i="6"/>
  <c r="O376" i="6"/>
  <c r="L592" i="6"/>
  <c r="L591" i="6"/>
  <c r="L595" i="6"/>
  <c r="O603" i="6"/>
  <c r="O600" i="6"/>
  <c r="L594" i="6"/>
  <c r="O602" i="6"/>
  <c r="O601" i="6"/>
  <c r="O604" i="6"/>
  <c r="L593" i="6"/>
  <c r="K222" i="6"/>
  <c r="K220" i="6"/>
  <c r="K219" i="6"/>
  <c r="I213" i="6"/>
  <c r="I212" i="6"/>
  <c r="K221" i="6"/>
  <c r="I210" i="6"/>
  <c r="I211" i="6"/>
  <c r="AC207" i="6"/>
  <c r="AA813" i="6"/>
  <c r="Q819" i="6"/>
  <c r="R819" i="6" s="1"/>
  <c r="F327" i="6"/>
  <c r="G335" i="6"/>
  <c r="H335" i="6" s="1"/>
  <c r="G334" i="6"/>
  <c r="H334" i="6" s="1"/>
  <c r="G336" i="6"/>
  <c r="H336" i="6" s="1"/>
  <c r="F326" i="6"/>
  <c r="F325" i="6"/>
  <c r="AC321" i="6"/>
  <c r="Q401" i="6"/>
  <c r="R401" i="6" s="1"/>
  <c r="AA395" i="6"/>
  <c r="K792" i="6"/>
  <c r="L792" i="6" s="1"/>
  <c r="K791" i="6"/>
  <c r="L791" i="6" s="1"/>
  <c r="K790" i="6"/>
  <c r="L790" i="6" s="1"/>
  <c r="I784" i="6"/>
  <c r="I783" i="6"/>
  <c r="I781" i="6"/>
  <c r="K793" i="6"/>
  <c r="L793" i="6" s="1"/>
  <c r="I782" i="6"/>
  <c r="AC778" i="6"/>
  <c r="L625" i="6"/>
  <c r="N624" i="6"/>
  <c r="S509" i="6"/>
  <c r="U509" i="6" s="1"/>
  <c r="Q515" i="6" s="1"/>
  <c r="R515" i="6" s="1"/>
  <c r="Q510" i="6"/>
  <c r="T624" i="6"/>
  <c r="R624" i="6"/>
  <c r="R548" i="6"/>
  <c r="T548" i="6"/>
  <c r="X509" i="6"/>
  <c r="V510" i="6"/>
  <c r="L638" i="6"/>
  <c r="AA585" i="6"/>
  <c r="O510" i="6"/>
  <c r="M510" i="6"/>
  <c r="W397" i="6"/>
  <c r="Y397" i="6"/>
  <c r="O776" i="6"/>
  <c r="M776" i="6"/>
  <c r="S737" i="6"/>
  <c r="U737" i="6" s="1"/>
  <c r="Q738" i="6"/>
  <c r="I554" i="6"/>
  <c r="I553" i="6"/>
  <c r="K563" i="6"/>
  <c r="L563" i="6" s="1"/>
  <c r="K562" i="6"/>
  <c r="L562" i="6" s="1"/>
  <c r="I556" i="6"/>
  <c r="I555" i="6"/>
  <c r="AC550" i="6"/>
  <c r="K564" i="6"/>
  <c r="L564" i="6" s="1"/>
  <c r="K565" i="6"/>
  <c r="L565" i="6" s="1"/>
  <c r="K412" i="6"/>
  <c r="L412" i="6" s="1"/>
  <c r="I402" i="6"/>
  <c r="I401" i="6"/>
  <c r="K410" i="6"/>
  <c r="L410" i="6" s="1"/>
  <c r="I404" i="6"/>
  <c r="K411" i="6"/>
  <c r="L411" i="6" s="1"/>
  <c r="I403" i="6"/>
  <c r="K413" i="6"/>
  <c r="L413" i="6" s="1"/>
  <c r="AC398" i="6"/>
  <c r="F249" i="6"/>
  <c r="F248" i="6"/>
  <c r="G258" i="6"/>
  <c r="H258" i="6" s="1"/>
  <c r="G257" i="6"/>
  <c r="H257" i="6" s="1"/>
  <c r="F250" i="6"/>
  <c r="G259" i="6"/>
  <c r="H259" i="6" s="1"/>
  <c r="I204" i="6"/>
  <c r="G205" i="6"/>
  <c r="W283" i="6"/>
  <c r="Y283" i="6"/>
  <c r="V168" i="6"/>
  <c r="X167" i="6"/>
  <c r="C59" i="6"/>
  <c r="C58" i="6"/>
  <c r="C68" i="6"/>
  <c r="D68" i="6" s="1"/>
  <c r="C67" i="6"/>
  <c r="D67" i="6" s="1"/>
  <c r="D69" i="6" s="1"/>
  <c r="X357" i="6"/>
  <c r="V358" i="6"/>
  <c r="V321" i="6"/>
  <c r="X320" i="6"/>
  <c r="X242" i="6"/>
  <c r="V243" i="6"/>
  <c r="M205" i="6"/>
  <c r="O205" i="6"/>
  <c r="N14" i="6"/>
  <c r="P14" i="6" s="1"/>
  <c r="L15" i="6"/>
  <c r="Q91" i="6"/>
  <c r="S90" i="6"/>
  <c r="U90" i="6" s="1"/>
  <c r="V54" i="6"/>
  <c r="X53" i="6"/>
  <c r="R15" i="6"/>
  <c r="T15" i="6"/>
  <c r="G106" i="6"/>
  <c r="H106" i="6" s="1"/>
  <c r="G105" i="6"/>
  <c r="H105" i="6" s="1"/>
  <c r="H108" i="6" s="1"/>
  <c r="F98" i="6"/>
  <c r="F96" i="6"/>
  <c r="G107" i="6"/>
  <c r="H107" i="6" s="1"/>
  <c r="F97" i="6"/>
  <c r="AC92" i="6"/>
  <c r="R53" i="6"/>
  <c r="T53" i="6"/>
  <c r="AC53" i="6"/>
  <c r="V853" i="6"/>
  <c r="X852" i="6"/>
  <c r="S775" i="6"/>
  <c r="Q776" i="6"/>
  <c r="G449" i="6"/>
  <c r="H449" i="6" s="1"/>
  <c r="G448" i="6"/>
  <c r="H448" i="6" s="1"/>
  <c r="H451" i="6" s="1"/>
  <c r="F441" i="6"/>
  <c r="G450" i="6"/>
  <c r="H450" i="6" s="1"/>
  <c r="F440" i="6"/>
  <c r="F439" i="6"/>
  <c r="N889" i="6"/>
  <c r="P889" i="6" s="1"/>
  <c r="L890" i="6"/>
  <c r="G906" i="6"/>
  <c r="H906" i="6" s="1"/>
  <c r="F896" i="6"/>
  <c r="F895" i="6"/>
  <c r="G905" i="6"/>
  <c r="H905" i="6" s="1"/>
  <c r="F897" i="6"/>
  <c r="G904" i="6"/>
  <c r="H904" i="6" s="1"/>
  <c r="H907" i="6" s="1"/>
  <c r="I889" i="6"/>
  <c r="G890" i="6"/>
  <c r="N851" i="6"/>
  <c r="P851" i="6" s="1"/>
  <c r="L852" i="6"/>
  <c r="J814" i="6"/>
  <c r="H814" i="6"/>
  <c r="AA775" i="6"/>
  <c r="U775" i="6"/>
  <c r="Q781" i="6" s="1"/>
  <c r="R781" i="6" s="1"/>
  <c r="S661" i="6"/>
  <c r="Q662" i="6"/>
  <c r="F592" i="6"/>
  <c r="F591" i="6"/>
  <c r="G601" i="6"/>
  <c r="H601" i="6" s="1"/>
  <c r="G600" i="6"/>
  <c r="H600" i="6" s="1"/>
  <c r="G602" i="6"/>
  <c r="H602" i="6" s="1"/>
  <c r="F593" i="6"/>
  <c r="C601" i="6"/>
  <c r="D601" i="6" s="1"/>
  <c r="C600" i="6"/>
  <c r="D600" i="6" s="1"/>
  <c r="D602" i="6" s="1"/>
  <c r="C591" i="6"/>
  <c r="C592" i="6"/>
  <c r="L633" i="6"/>
  <c r="O641" i="6"/>
  <c r="P641" i="6" s="1"/>
  <c r="O639" i="6"/>
  <c r="P639" i="6" s="1"/>
  <c r="O638" i="6"/>
  <c r="P638" i="6" s="1"/>
  <c r="L632" i="6"/>
  <c r="L631" i="6"/>
  <c r="O642" i="6"/>
  <c r="P642" i="6" s="1"/>
  <c r="L629" i="6"/>
  <c r="L630" i="6"/>
  <c r="O640" i="6"/>
  <c r="P640" i="6" s="1"/>
  <c r="P624" i="6"/>
  <c r="Z509" i="6"/>
  <c r="M586" i="6"/>
  <c r="O586" i="6"/>
  <c r="L639" i="6"/>
  <c r="L738" i="6"/>
  <c r="N737" i="6"/>
  <c r="P737" i="6" s="1"/>
  <c r="M472" i="6"/>
  <c r="O472" i="6"/>
  <c r="Z396" i="6"/>
  <c r="H375" i="6"/>
  <c r="K298" i="6"/>
  <c r="L298" i="6" s="1"/>
  <c r="I288" i="6"/>
  <c r="I287" i="6"/>
  <c r="K297" i="6"/>
  <c r="L297" i="6" s="1"/>
  <c r="I289" i="6"/>
  <c r="K299" i="6"/>
  <c r="L299" i="6" s="1"/>
  <c r="AC284" i="6"/>
  <c r="K296" i="6"/>
  <c r="L296" i="6" s="1"/>
  <c r="I290" i="6"/>
  <c r="K204" i="6"/>
  <c r="I242" i="6"/>
  <c r="K242" i="6" s="1"/>
  <c r="G243" i="6"/>
  <c r="Q206" i="6"/>
  <c r="S205" i="6"/>
  <c r="U205" i="6" s="1"/>
  <c r="R129" i="6"/>
  <c r="T129" i="6"/>
  <c r="H299" i="6"/>
  <c r="J167" i="6"/>
  <c r="H167" i="6"/>
  <c r="H146" i="6"/>
  <c r="T358" i="6"/>
  <c r="R358" i="6"/>
  <c r="R320" i="6"/>
  <c r="T320" i="6"/>
  <c r="Z242" i="6"/>
  <c r="X90" i="6"/>
  <c r="Z90" i="6" s="1"/>
  <c r="V91" i="6"/>
  <c r="T243" i="6"/>
  <c r="R243" i="6"/>
  <c r="Z53" i="6"/>
  <c r="O32" i="6"/>
  <c r="O30" i="6"/>
  <c r="O29" i="6"/>
  <c r="L23" i="6"/>
  <c r="L22" i="6"/>
  <c r="O33" i="6"/>
  <c r="O31" i="6"/>
  <c r="L24" i="6"/>
  <c r="L21" i="6"/>
  <c r="L20" i="6"/>
  <c r="I21" i="6"/>
  <c r="I20" i="6"/>
  <c r="K32" i="6"/>
  <c r="L32" i="6" s="1"/>
  <c r="K30" i="6"/>
  <c r="L30" i="6" s="1"/>
  <c r="K29" i="6"/>
  <c r="L29" i="6" s="1"/>
  <c r="I23" i="6"/>
  <c r="I22" i="6"/>
  <c r="K31" i="6"/>
  <c r="L31" i="6" s="1"/>
  <c r="Q891" i="6"/>
  <c r="S890" i="6"/>
  <c r="J852" i="6"/>
  <c r="H852" i="6"/>
  <c r="F706" i="6"/>
  <c r="F705" i="6"/>
  <c r="G716" i="6"/>
  <c r="H716" i="6" s="1"/>
  <c r="F707" i="6"/>
  <c r="G715" i="6"/>
  <c r="H715" i="6" s="1"/>
  <c r="G714" i="6"/>
  <c r="H714" i="6" s="1"/>
  <c r="F744" i="6"/>
  <c r="F743" i="6"/>
  <c r="G753" i="6"/>
  <c r="H753" i="6" s="1"/>
  <c r="G752" i="6"/>
  <c r="H752" i="6" s="1"/>
  <c r="F745" i="6"/>
  <c r="G754" i="6"/>
  <c r="H754" i="6" s="1"/>
  <c r="AC891" i="6"/>
  <c r="K889" i="6"/>
  <c r="D906" i="6"/>
  <c r="R852" i="6"/>
  <c r="T852" i="6"/>
  <c r="I858" i="6"/>
  <c r="I857" i="6"/>
  <c r="K869" i="6"/>
  <c r="L869" i="6" s="1"/>
  <c r="K867" i="6"/>
  <c r="L867" i="6" s="1"/>
  <c r="K866" i="6"/>
  <c r="L866" i="6" s="1"/>
  <c r="I860" i="6"/>
  <c r="I859" i="6"/>
  <c r="K868" i="6"/>
  <c r="L868" i="6" s="1"/>
  <c r="G829" i="6"/>
  <c r="H829" i="6" s="1"/>
  <c r="G828" i="6"/>
  <c r="H828" i="6" s="1"/>
  <c r="H831" i="6" s="1"/>
  <c r="F821" i="6"/>
  <c r="G830" i="6"/>
  <c r="H830" i="6" s="1"/>
  <c r="AC815" i="6"/>
  <c r="F819" i="6"/>
  <c r="F820" i="6"/>
  <c r="Y890" i="6"/>
  <c r="W890" i="6"/>
  <c r="W776" i="6"/>
  <c r="Y776" i="6"/>
  <c r="AC701" i="6"/>
  <c r="D716" i="6"/>
  <c r="G738" i="6"/>
  <c r="I737" i="6"/>
  <c r="K737" i="6" s="1"/>
  <c r="M700" i="6"/>
  <c r="O700" i="6"/>
  <c r="U661" i="6"/>
  <c r="Q667" i="6" s="1"/>
  <c r="R667" i="6" s="1"/>
  <c r="T700" i="6"/>
  <c r="R700" i="6"/>
  <c r="O662" i="6"/>
  <c r="M662" i="6"/>
  <c r="W662" i="6"/>
  <c r="Y662" i="6"/>
  <c r="Z623" i="6"/>
  <c r="Q629" i="6" s="1"/>
  <c r="R629" i="6" s="1"/>
  <c r="Z549" i="6"/>
  <c r="K511" i="6"/>
  <c r="K700" i="6"/>
  <c r="G550" i="6"/>
  <c r="I549" i="6"/>
  <c r="K549" i="6" s="1"/>
  <c r="J586" i="6"/>
  <c r="H586" i="6"/>
  <c r="Q587" i="6"/>
  <c r="S586" i="6"/>
  <c r="G525" i="6"/>
  <c r="H525" i="6" s="1"/>
  <c r="G524" i="6"/>
  <c r="H524" i="6" s="1"/>
  <c r="H527" i="6" s="1"/>
  <c r="F517" i="6"/>
  <c r="G526" i="6"/>
  <c r="H526" i="6" s="1"/>
  <c r="F515" i="6"/>
  <c r="F516" i="6"/>
  <c r="AC511" i="6"/>
  <c r="Y472" i="6"/>
  <c r="W472" i="6"/>
  <c r="V435" i="6"/>
  <c r="X434" i="6"/>
  <c r="Z434" i="6" s="1"/>
  <c r="G398" i="6"/>
  <c r="I397" i="6"/>
  <c r="K397" i="6" s="1"/>
  <c r="L359" i="6"/>
  <c r="N358" i="6"/>
  <c r="P358" i="6" s="1"/>
  <c r="G359" i="6"/>
  <c r="I358" i="6"/>
  <c r="K358" i="6" s="1"/>
  <c r="G777" i="6"/>
  <c r="I776" i="6"/>
  <c r="K776" i="6" s="1"/>
  <c r="C753" i="6"/>
  <c r="D753" i="6" s="1"/>
  <c r="C752" i="6"/>
  <c r="D752" i="6" s="1"/>
  <c r="D754" i="6" s="1"/>
  <c r="C744" i="6"/>
  <c r="C743" i="6"/>
  <c r="N547" i="6"/>
  <c r="L548" i="6"/>
  <c r="N433" i="6"/>
  <c r="P433" i="6" s="1"/>
  <c r="L434" i="6"/>
  <c r="H413" i="6"/>
  <c r="C220" i="6"/>
  <c r="D220" i="6" s="1"/>
  <c r="C219" i="6"/>
  <c r="D219" i="6" s="1"/>
  <c r="D221" i="6" s="1"/>
  <c r="C210" i="6"/>
  <c r="C211" i="6"/>
  <c r="J434" i="6"/>
  <c r="H434" i="6"/>
  <c r="Y586" i="6"/>
  <c r="W586" i="6"/>
  <c r="J320" i="6"/>
  <c r="H320" i="6"/>
  <c r="G283" i="6"/>
  <c r="I282" i="6"/>
  <c r="K282" i="6" s="1"/>
  <c r="R167" i="6"/>
  <c r="T167" i="6"/>
  <c r="Z130" i="6"/>
  <c r="L91" i="6"/>
  <c r="N90" i="6"/>
  <c r="P90" i="6" s="1"/>
  <c r="Q96" i="6" s="1"/>
  <c r="R96" i="6" s="1"/>
  <c r="K145" i="6"/>
  <c r="L145" i="6" s="1"/>
  <c r="I135" i="6"/>
  <c r="I134" i="6"/>
  <c r="K146" i="6"/>
  <c r="L146" i="6" s="1"/>
  <c r="AC131" i="6"/>
  <c r="K143" i="6"/>
  <c r="L143" i="6" s="1"/>
  <c r="I137" i="6"/>
  <c r="K144" i="6"/>
  <c r="L144" i="6" s="1"/>
  <c r="I136" i="6"/>
  <c r="L243" i="6"/>
  <c r="N242" i="6"/>
  <c r="P242" i="6" s="1"/>
  <c r="Y205" i="6"/>
  <c r="W205" i="6"/>
  <c r="G182" i="6"/>
  <c r="H182" i="6" s="1"/>
  <c r="G181" i="6"/>
  <c r="H181" i="6" s="1"/>
  <c r="H184" i="6" s="1"/>
  <c r="F174" i="6"/>
  <c r="G183" i="6"/>
  <c r="H183" i="6" s="1"/>
  <c r="F173" i="6"/>
  <c r="F172" i="6"/>
  <c r="N128" i="6"/>
  <c r="P128" i="6" s="1"/>
  <c r="L129" i="6"/>
  <c r="AC168" i="6"/>
  <c r="G130" i="6"/>
  <c r="I129" i="6"/>
  <c r="K129" i="6" s="1"/>
  <c r="N319" i="6"/>
  <c r="L320" i="6"/>
  <c r="H91" i="6"/>
  <c r="J91" i="6"/>
  <c r="O53" i="6"/>
  <c r="M53" i="6"/>
  <c r="D31" i="6"/>
  <c r="X737" i="6"/>
  <c r="Z737" i="6" s="1"/>
  <c r="V738" i="6"/>
  <c r="G663" i="6"/>
  <c r="I662" i="6"/>
  <c r="Z851" i="6"/>
  <c r="O869" i="6"/>
  <c r="O867" i="6"/>
  <c r="P867" i="6" s="1"/>
  <c r="O866" i="6"/>
  <c r="P866" i="6" s="1"/>
  <c r="L860" i="6"/>
  <c r="L859" i="6"/>
  <c r="O870" i="6"/>
  <c r="O868" i="6"/>
  <c r="P868" i="6" s="1"/>
  <c r="L858" i="6"/>
  <c r="L857" i="6"/>
  <c r="L861" i="6"/>
  <c r="U890" i="6"/>
  <c r="Z852" i="6"/>
  <c r="O814" i="6"/>
  <c r="M814" i="6"/>
  <c r="AC739" i="6"/>
  <c r="Y700" i="6"/>
  <c r="W700" i="6"/>
  <c r="Q705" i="6"/>
  <c r="R705" i="6" s="1"/>
  <c r="AA699" i="6"/>
  <c r="K662" i="6"/>
  <c r="D640" i="6"/>
  <c r="G677" i="6"/>
  <c r="H677" i="6" s="1"/>
  <c r="G676" i="6"/>
  <c r="H676" i="6" s="1"/>
  <c r="H679" i="6" s="1"/>
  <c r="F669" i="6"/>
  <c r="G678" i="6"/>
  <c r="H678" i="6" s="1"/>
  <c r="F668" i="6"/>
  <c r="F667" i="6"/>
  <c r="AC663" i="6"/>
  <c r="S814" i="6"/>
  <c r="U814" i="6" s="1"/>
  <c r="Q815" i="6"/>
  <c r="X623" i="6"/>
  <c r="V624" i="6"/>
  <c r="G625" i="6"/>
  <c r="I624" i="6"/>
  <c r="K624" i="6" s="1"/>
  <c r="K510" i="6"/>
  <c r="I700" i="6"/>
  <c r="G701" i="6"/>
  <c r="Z548" i="6"/>
  <c r="C487" i="6"/>
  <c r="D487" i="6" s="1"/>
  <c r="C486" i="6"/>
  <c r="D486" i="6" s="1"/>
  <c r="D488" i="6" s="1"/>
  <c r="C477" i="6"/>
  <c r="C478" i="6"/>
  <c r="U586" i="6"/>
  <c r="Q553" i="6"/>
  <c r="R553" i="6" s="1"/>
  <c r="K603" i="6"/>
  <c r="L603" i="6" s="1"/>
  <c r="K601" i="6"/>
  <c r="L601" i="6" s="1"/>
  <c r="K600" i="6"/>
  <c r="L600" i="6" s="1"/>
  <c r="I594" i="6"/>
  <c r="I593" i="6"/>
  <c r="K602" i="6"/>
  <c r="I592" i="6"/>
  <c r="I591" i="6"/>
  <c r="D526" i="6"/>
  <c r="I471" i="6"/>
  <c r="K471" i="6" s="1"/>
  <c r="G472" i="6"/>
  <c r="D450" i="6"/>
  <c r="S396" i="6"/>
  <c r="U396" i="6" s="1"/>
  <c r="Q397" i="6"/>
  <c r="P547" i="6"/>
  <c r="AA547" i="6" s="1"/>
  <c r="Q473" i="6"/>
  <c r="S472" i="6"/>
  <c r="U472" i="6" s="1"/>
  <c r="AC472" i="6"/>
  <c r="AC435" i="6"/>
  <c r="C335" i="6"/>
  <c r="D335" i="6" s="1"/>
  <c r="C334" i="6"/>
  <c r="D334" i="6" s="1"/>
  <c r="C326" i="6"/>
  <c r="C325" i="6"/>
  <c r="R434" i="6"/>
  <c r="T434" i="6"/>
  <c r="S281" i="6"/>
  <c r="U281" i="6" s="1"/>
  <c r="Q282" i="6"/>
  <c r="O396" i="6"/>
  <c r="M396" i="6"/>
  <c r="K374" i="6"/>
  <c r="L374" i="6" s="1"/>
  <c r="I364" i="6"/>
  <c r="I363" i="6"/>
  <c r="K373" i="6"/>
  <c r="L373" i="6" s="1"/>
  <c r="K372" i="6"/>
  <c r="L372" i="6" s="1"/>
  <c r="I366" i="6"/>
  <c r="I365" i="6"/>
  <c r="K375" i="6"/>
  <c r="L375" i="6" s="1"/>
  <c r="O282" i="6"/>
  <c r="M282" i="6"/>
  <c r="C258" i="6"/>
  <c r="D258" i="6" s="1"/>
  <c r="C257" i="6"/>
  <c r="D257" i="6" s="1"/>
  <c r="C249" i="6"/>
  <c r="C248" i="6"/>
  <c r="Z167" i="6"/>
  <c r="Q134" i="6"/>
  <c r="R134" i="6" s="1"/>
  <c r="AA128" i="6"/>
  <c r="G221" i="6"/>
  <c r="H221" i="6" s="1"/>
  <c r="F211" i="6"/>
  <c r="F210" i="6"/>
  <c r="F212" i="6"/>
  <c r="G219" i="6"/>
  <c r="H219" i="6" s="1"/>
  <c r="G220" i="6"/>
  <c r="H220" i="6" s="1"/>
  <c r="Z357" i="6"/>
  <c r="Q363" i="6" s="1"/>
  <c r="R363" i="6" s="1"/>
  <c r="Z320" i="6"/>
  <c r="AC244" i="6"/>
  <c r="N166" i="6"/>
  <c r="P166" i="6" s="1"/>
  <c r="L167" i="6"/>
  <c r="I52" i="6"/>
  <c r="K52" i="6" s="1"/>
  <c r="G53" i="6"/>
  <c r="P319" i="6"/>
  <c r="Q325" i="6" s="1"/>
  <c r="R325" i="6" s="1"/>
  <c r="AA14" i="6"/>
  <c r="Q20" i="6"/>
  <c r="R20" i="6" s="1"/>
  <c r="V16" i="6"/>
  <c r="X15" i="6"/>
  <c r="Z15" i="6" s="1"/>
  <c r="G16" i="6"/>
  <c r="I15" i="6"/>
  <c r="K15" i="6" s="1"/>
  <c r="H793" i="5"/>
  <c r="H108" i="5"/>
  <c r="H869" i="5"/>
  <c r="K563" i="5"/>
  <c r="I554" i="5"/>
  <c r="I556" i="5"/>
  <c r="I553" i="5"/>
  <c r="U396" i="5"/>
  <c r="Z396" i="5"/>
  <c r="U167" i="5"/>
  <c r="L184" i="5"/>
  <c r="L143" i="5"/>
  <c r="K129" i="5"/>
  <c r="AA14" i="5"/>
  <c r="G601" i="5"/>
  <c r="G600" i="5"/>
  <c r="H600" i="5" s="1"/>
  <c r="G602" i="5"/>
  <c r="F593" i="5"/>
  <c r="F592" i="5"/>
  <c r="F591" i="5"/>
  <c r="AC587" i="5"/>
  <c r="F744" i="5"/>
  <c r="F743" i="5"/>
  <c r="G753" i="5"/>
  <c r="H753" i="5" s="1"/>
  <c r="G752" i="5"/>
  <c r="H752" i="5" s="1"/>
  <c r="F745" i="5"/>
  <c r="G754" i="5"/>
  <c r="H754" i="5" s="1"/>
  <c r="AC739" i="5"/>
  <c r="F630" i="5"/>
  <c r="F629" i="5"/>
  <c r="G640" i="5"/>
  <c r="H640" i="5" s="1"/>
  <c r="F631" i="5"/>
  <c r="G638" i="5"/>
  <c r="H638" i="5" s="1"/>
  <c r="G639" i="5"/>
  <c r="H639" i="5" s="1"/>
  <c r="AC625" i="5"/>
  <c r="O338" i="5"/>
  <c r="L326" i="5"/>
  <c r="L325" i="5"/>
  <c r="L328" i="5"/>
  <c r="O336" i="5"/>
  <c r="O335" i="5"/>
  <c r="O334" i="5"/>
  <c r="O337" i="5"/>
  <c r="L327" i="5"/>
  <c r="L329" i="5"/>
  <c r="AA319" i="5"/>
  <c r="F668" i="5"/>
  <c r="F667" i="5"/>
  <c r="G677" i="5"/>
  <c r="H677" i="5" s="1"/>
  <c r="G676" i="5"/>
  <c r="H676" i="5" s="1"/>
  <c r="G678" i="5"/>
  <c r="H678" i="5" s="1"/>
  <c r="F669" i="5"/>
  <c r="W700" i="5"/>
  <c r="Y700" i="5"/>
  <c r="N624" i="5"/>
  <c r="L625" i="5"/>
  <c r="L359" i="5"/>
  <c r="N358" i="5"/>
  <c r="Q320" i="5"/>
  <c r="S319" i="5"/>
  <c r="U319" i="5" s="1"/>
  <c r="F249" i="5"/>
  <c r="F248" i="5"/>
  <c r="G258" i="5"/>
  <c r="H258" i="5" s="1"/>
  <c r="G257" i="5"/>
  <c r="H257" i="5" s="1"/>
  <c r="F250" i="5"/>
  <c r="G259" i="5"/>
  <c r="H259" i="5" s="1"/>
  <c r="X14" i="5"/>
  <c r="Z14" i="5" s="1"/>
  <c r="V15" i="5"/>
  <c r="S585" i="5"/>
  <c r="U585" i="5" s="1"/>
  <c r="Q586" i="5"/>
  <c r="AA395" i="5"/>
  <c r="Q401" i="5"/>
  <c r="R401" i="5" s="1"/>
  <c r="N547" i="5"/>
  <c r="P547" i="5" s="1"/>
  <c r="L548" i="5"/>
  <c r="V473" i="5"/>
  <c r="X472" i="5"/>
  <c r="Z472" i="5" s="1"/>
  <c r="N242" i="5"/>
  <c r="L243" i="5"/>
  <c r="G298" i="5"/>
  <c r="H298" i="5" s="1"/>
  <c r="F289" i="5"/>
  <c r="G297" i="5"/>
  <c r="H297" i="5" s="1"/>
  <c r="F288" i="5"/>
  <c r="G296" i="5"/>
  <c r="H296" i="5" s="1"/>
  <c r="F287" i="5"/>
  <c r="T53" i="5"/>
  <c r="R53" i="5"/>
  <c r="O53" i="5"/>
  <c r="M53" i="5"/>
  <c r="O472" i="5"/>
  <c r="M472" i="5"/>
  <c r="P128" i="5"/>
  <c r="AC283" i="5"/>
  <c r="V891" i="5"/>
  <c r="X890" i="5"/>
  <c r="Z890" i="5" s="1"/>
  <c r="X775" i="5"/>
  <c r="Z775" i="5" s="1"/>
  <c r="V776" i="5"/>
  <c r="AA699" i="5"/>
  <c r="Q705" i="5"/>
  <c r="R705" i="5" s="1"/>
  <c r="O777" i="5"/>
  <c r="M777" i="5"/>
  <c r="J624" i="5"/>
  <c r="H624" i="5"/>
  <c r="Q477" i="5"/>
  <c r="R477" i="5" s="1"/>
  <c r="AA471" i="5"/>
  <c r="L282" i="5"/>
  <c r="N281" i="5"/>
  <c r="P281" i="5" s="1"/>
  <c r="Q15" i="5"/>
  <c r="S14" i="5"/>
  <c r="U14" i="5" s="1"/>
  <c r="I547" i="5"/>
  <c r="K547" i="5" s="1"/>
  <c r="G548" i="5"/>
  <c r="V398" i="5"/>
  <c r="X397" i="5"/>
  <c r="Z397" i="5" s="1"/>
  <c r="N319" i="5"/>
  <c r="P319" i="5" s="1"/>
  <c r="Q325" i="5" s="1"/>
  <c r="R325" i="5" s="1"/>
  <c r="L320" i="5"/>
  <c r="S204" i="5"/>
  <c r="U204" i="5" s="1"/>
  <c r="Q205" i="5"/>
  <c r="L565" i="5"/>
  <c r="Y510" i="5"/>
  <c r="W510" i="5"/>
  <c r="X433" i="5"/>
  <c r="Z433" i="5" s="1"/>
  <c r="V434" i="5"/>
  <c r="Z737" i="5"/>
  <c r="J15" i="5"/>
  <c r="H15" i="5"/>
  <c r="Q169" i="5"/>
  <c r="S168" i="5"/>
  <c r="U168" i="5" s="1"/>
  <c r="H53" i="5"/>
  <c r="J53" i="5"/>
  <c r="G69" i="5"/>
  <c r="F60" i="5"/>
  <c r="F59" i="5"/>
  <c r="G67" i="5"/>
  <c r="H67" i="5" s="1"/>
  <c r="F58" i="5"/>
  <c r="AC54" i="5"/>
  <c r="G68" i="5"/>
  <c r="H68" i="5" s="1"/>
  <c r="G131" i="5"/>
  <c r="I130" i="5"/>
  <c r="K130" i="5" s="1"/>
  <c r="L852" i="5"/>
  <c r="N851" i="5"/>
  <c r="P851" i="5" s="1"/>
  <c r="M890" i="5"/>
  <c r="O890" i="5"/>
  <c r="U851" i="5"/>
  <c r="K830" i="5"/>
  <c r="L830" i="5" s="1"/>
  <c r="I822" i="5"/>
  <c r="I821" i="5"/>
  <c r="K831" i="5"/>
  <c r="L831" i="5" s="1"/>
  <c r="I820" i="5"/>
  <c r="I819" i="5"/>
  <c r="K828" i="5"/>
  <c r="L828" i="5" s="1"/>
  <c r="K829" i="5"/>
  <c r="L829" i="5" s="1"/>
  <c r="AC816" i="5"/>
  <c r="Q738" i="5"/>
  <c r="S737" i="5"/>
  <c r="U737" i="5" s="1"/>
  <c r="I889" i="5"/>
  <c r="G890" i="5"/>
  <c r="I661" i="5"/>
  <c r="K661" i="5" s="1"/>
  <c r="G662" i="5"/>
  <c r="X585" i="5"/>
  <c r="Z585" i="5" s="1"/>
  <c r="V586" i="5"/>
  <c r="L814" i="5"/>
  <c r="N813" i="5"/>
  <c r="Q662" i="5"/>
  <c r="S661" i="5"/>
  <c r="U661" i="5" s="1"/>
  <c r="Q629" i="5"/>
  <c r="R629" i="5" s="1"/>
  <c r="AA623" i="5"/>
  <c r="I509" i="5"/>
  <c r="K509" i="5" s="1"/>
  <c r="G510" i="5"/>
  <c r="K433" i="5"/>
  <c r="G397" i="5"/>
  <c r="I396" i="5"/>
  <c r="K396" i="5" s="1"/>
  <c r="P358" i="5"/>
  <c r="G282" i="5"/>
  <c r="I281" i="5"/>
  <c r="K281" i="5" s="1"/>
  <c r="L91" i="5"/>
  <c r="N90" i="5"/>
  <c r="P90" i="5" s="1"/>
  <c r="Q96" i="5" s="1"/>
  <c r="R96" i="5" s="1"/>
  <c r="G586" i="5"/>
  <c r="I585" i="5"/>
  <c r="K585" i="5" s="1"/>
  <c r="D450" i="5"/>
  <c r="X357" i="5"/>
  <c r="Z357" i="5" s="1"/>
  <c r="V358" i="5"/>
  <c r="X281" i="5"/>
  <c r="Z281" i="5" s="1"/>
  <c r="V282" i="5"/>
  <c r="L205" i="5"/>
  <c r="N204" i="5"/>
  <c r="P204" i="5" s="1"/>
  <c r="G716" i="5"/>
  <c r="H716" i="5" s="1"/>
  <c r="F707" i="5"/>
  <c r="G715" i="5"/>
  <c r="H715" i="5" s="1"/>
  <c r="G714" i="5"/>
  <c r="H714" i="5" s="1"/>
  <c r="AC701" i="5"/>
  <c r="F705" i="5"/>
  <c r="F706" i="5"/>
  <c r="L562" i="5"/>
  <c r="O434" i="5"/>
  <c r="M434" i="5"/>
  <c r="L182" i="5"/>
  <c r="I166" i="5"/>
  <c r="G167" i="5"/>
  <c r="S128" i="5"/>
  <c r="U128" i="5" s="1"/>
  <c r="Q129" i="5"/>
  <c r="R91" i="5"/>
  <c r="T91" i="5"/>
  <c r="H91" i="5"/>
  <c r="J91" i="5"/>
  <c r="Q473" i="5"/>
  <c r="S472" i="5"/>
  <c r="U472" i="5" s="1"/>
  <c r="Y91" i="5"/>
  <c r="W91" i="5"/>
  <c r="C257" i="5"/>
  <c r="D257" i="5" s="1"/>
  <c r="D259" i="5" s="1"/>
  <c r="C249" i="5"/>
  <c r="C248" i="5"/>
  <c r="C258" i="5"/>
  <c r="D258" i="5" s="1"/>
  <c r="S397" i="5"/>
  <c r="U397" i="5" s="1"/>
  <c r="Q398" i="5"/>
  <c r="V167" i="5"/>
  <c r="X166" i="5"/>
  <c r="L147" i="5"/>
  <c r="K907" i="5"/>
  <c r="L907" i="5" s="1"/>
  <c r="K905" i="5"/>
  <c r="K904" i="5"/>
  <c r="K906" i="5"/>
  <c r="I898" i="5"/>
  <c r="I897" i="5"/>
  <c r="I895" i="5"/>
  <c r="I896" i="5"/>
  <c r="I858" i="5"/>
  <c r="I857" i="5"/>
  <c r="K868" i="5"/>
  <c r="L868" i="5" s="1"/>
  <c r="I860" i="5"/>
  <c r="I859" i="5"/>
  <c r="K869" i="5"/>
  <c r="L869" i="5" s="1"/>
  <c r="K867" i="5"/>
  <c r="L867" i="5" s="1"/>
  <c r="K866" i="5"/>
  <c r="L866" i="5" s="1"/>
  <c r="X852" i="5"/>
  <c r="Z852" i="5" s="1"/>
  <c r="V853" i="5"/>
  <c r="C753" i="5"/>
  <c r="D753" i="5" s="1"/>
  <c r="C752" i="5"/>
  <c r="D752" i="5" s="1"/>
  <c r="D754" i="5" s="1"/>
  <c r="C743" i="5"/>
  <c r="C744" i="5"/>
  <c r="C668" i="5"/>
  <c r="C676" i="5"/>
  <c r="D676" i="5" s="1"/>
  <c r="D678" i="5" s="1"/>
  <c r="C667" i="5"/>
  <c r="C677" i="5"/>
  <c r="D677" i="5" s="1"/>
  <c r="Y624" i="5"/>
  <c r="W624" i="5"/>
  <c r="C515" i="5"/>
  <c r="C525" i="5"/>
  <c r="D525" i="5" s="1"/>
  <c r="C524" i="5"/>
  <c r="D524" i="5" s="1"/>
  <c r="D526" i="5" s="1"/>
  <c r="C516" i="5"/>
  <c r="Q434" i="5"/>
  <c r="S433" i="5"/>
  <c r="U433" i="5" s="1"/>
  <c r="K337" i="5"/>
  <c r="L337" i="5" s="1"/>
  <c r="K335" i="5"/>
  <c r="L335" i="5" s="1"/>
  <c r="K334" i="5"/>
  <c r="L334" i="5" s="1"/>
  <c r="I328" i="5"/>
  <c r="I327" i="5"/>
  <c r="I326" i="5"/>
  <c r="I325" i="5"/>
  <c r="K336" i="5"/>
  <c r="L336" i="5" s="1"/>
  <c r="I242" i="5"/>
  <c r="K242" i="5" s="1"/>
  <c r="G243" i="5"/>
  <c r="L176" i="5"/>
  <c r="L173" i="5"/>
  <c r="L172" i="5"/>
  <c r="O181" i="5"/>
  <c r="P181" i="5" s="1"/>
  <c r="O184" i="5"/>
  <c r="P184" i="5" s="1"/>
  <c r="O183" i="5"/>
  <c r="P183" i="5" s="1"/>
  <c r="L174" i="5"/>
  <c r="O182" i="5"/>
  <c r="P182" i="5" s="1"/>
  <c r="L175" i="5"/>
  <c r="O185" i="5"/>
  <c r="P185" i="5" s="1"/>
  <c r="K31" i="5"/>
  <c r="L31" i="5" s="1"/>
  <c r="I23" i="5"/>
  <c r="I22" i="5"/>
  <c r="K29" i="5"/>
  <c r="L29" i="5" s="1"/>
  <c r="I21" i="5"/>
  <c r="K32" i="5"/>
  <c r="L32" i="5" s="1"/>
  <c r="I20" i="5"/>
  <c r="K30" i="5"/>
  <c r="L30" i="5" s="1"/>
  <c r="J700" i="5"/>
  <c r="H700" i="5"/>
  <c r="X737" i="5"/>
  <c r="V738" i="5"/>
  <c r="J472" i="5"/>
  <c r="H472" i="5"/>
  <c r="C211" i="5"/>
  <c r="C210" i="5"/>
  <c r="C219" i="5"/>
  <c r="D219" i="5" s="1"/>
  <c r="D221" i="5" s="1"/>
  <c r="C220" i="5"/>
  <c r="D220" i="5" s="1"/>
  <c r="AC205" i="5"/>
  <c r="S282" i="5"/>
  <c r="U282" i="5" s="1"/>
  <c r="Q283" i="5"/>
  <c r="Q814" i="5"/>
  <c r="S813" i="5"/>
  <c r="U813" i="5" s="1"/>
  <c r="S851" i="5"/>
  <c r="Q852" i="5"/>
  <c r="H777" i="5"/>
  <c r="J777" i="5"/>
  <c r="P813" i="5"/>
  <c r="Y662" i="5"/>
  <c r="W662" i="5"/>
  <c r="Q548" i="5"/>
  <c r="S547" i="5"/>
  <c r="U547" i="5" s="1"/>
  <c r="G412" i="5"/>
  <c r="H412" i="5" s="1"/>
  <c r="AC397" i="5"/>
  <c r="F403" i="5"/>
  <c r="F401" i="5"/>
  <c r="G411" i="5"/>
  <c r="H411" i="5" s="1"/>
  <c r="F402" i="5"/>
  <c r="G410" i="5"/>
  <c r="H410" i="5" s="1"/>
  <c r="I358" i="5"/>
  <c r="K358" i="5" s="1"/>
  <c r="G359" i="5"/>
  <c r="P242" i="5"/>
  <c r="K107" i="5"/>
  <c r="L107" i="5" s="1"/>
  <c r="I99" i="5"/>
  <c r="I98" i="5"/>
  <c r="K108" i="5"/>
  <c r="L108" i="5" s="1"/>
  <c r="I96" i="5"/>
  <c r="K106" i="5"/>
  <c r="I97" i="5"/>
  <c r="K105" i="5"/>
  <c r="L105" i="5" s="1"/>
  <c r="C592" i="5"/>
  <c r="C591" i="5"/>
  <c r="C601" i="5"/>
  <c r="D601" i="5" s="1"/>
  <c r="C600" i="5"/>
  <c r="D600" i="5" s="1"/>
  <c r="D602" i="5" s="1"/>
  <c r="G373" i="5"/>
  <c r="H373" i="5" s="1"/>
  <c r="G372" i="5"/>
  <c r="H372" i="5" s="1"/>
  <c r="F365" i="5"/>
  <c r="F364" i="5"/>
  <c r="G374" i="5"/>
  <c r="H374" i="5" s="1"/>
  <c r="F363" i="5"/>
  <c r="AC359" i="5"/>
  <c r="N14" i="5"/>
  <c r="P14" i="5" s="1"/>
  <c r="Q20" i="5" s="1"/>
  <c r="R20" i="5" s="1"/>
  <c r="L15" i="5"/>
  <c r="V205" i="5"/>
  <c r="X204" i="5"/>
  <c r="Z204" i="5" s="1"/>
  <c r="AC93" i="5"/>
  <c r="J320" i="5"/>
  <c r="H320" i="5"/>
  <c r="L185" i="5"/>
  <c r="H337" i="5"/>
  <c r="Q243" i="5"/>
  <c r="S242" i="5"/>
  <c r="U242" i="5" s="1"/>
  <c r="L167" i="5"/>
  <c r="N166" i="5"/>
  <c r="P166" i="5" s="1"/>
  <c r="U891" i="5"/>
  <c r="G852" i="5"/>
  <c r="I851" i="5"/>
  <c r="K851" i="5" s="1"/>
  <c r="F896" i="5"/>
  <c r="F895" i="5"/>
  <c r="G906" i="5"/>
  <c r="H906" i="5" s="1"/>
  <c r="G905" i="5"/>
  <c r="H905" i="5" s="1"/>
  <c r="F897" i="5"/>
  <c r="G904" i="5"/>
  <c r="H904" i="5" s="1"/>
  <c r="AC892" i="5"/>
  <c r="G814" i="5"/>
  <c r="I813" i="5"/>
  <c r="K813" i="5" s="1"/>
  <c r="X813" i="5"/>
  <c r="Z813" i="5" s="1"/>
  <c r="V814" i="5"/>
  <c r="AC854" i="5"/>
  <c r="L738" i="5"/>
  <c r="N737" i="5"/>
  <c r="P737" i="5" s="1"/>
  <c r="Q743" i="5" s="1"/>
  <c r="R743" i="5" s="1"/>
  <c r="AC663" i="5"/>
  <c r="K889" i="5"/>
  <c r="T776" i="5"/>
  <c r="R776" i="5"/>
  <c r="C639" i="5"/>
  <c r="D639" i="5" s="1"/>
  <c r="C638" i="5"/>
  <c r="D638" i="5" s="1"/>
  <c r="C630" i="5"/>
  <c r="C629" i="5"/>
  <c r="H831" i="5"/>
  <c r="I782" i="5"/>
  <c r="I781" i="5"/>
  <c r="K791" i="5"/>
  <c r="L791" i="5" s="1"/>
  <c r="K790" i="5"/>
  <c r="L790" i="5" s="1"/>
  <c r="AC778" i="5"/>
  <c r="K793" i="5"/>
  <c r="L793" i="5" s="1"/>
  <c r="I784" i="5"/>
  <c r="K792" i="5"/>
  <c r="L792" i="5" s="1"/>
  <c r="I783" i="5"/>
  <c r="H738" i="5"/>
  <c r="J738" i="5"/>
  <c r="L662" i="5"/>
  <c r="N661" i="5"/>
  <c r="P661" i="5" s="1"/>
  <c r="O700" i="5"/>
  <c r="M700" i="5"/>
  <c r="P624" i="5"/>
  <c r="Y548" i="5"/>
  <c r="W548" i="5"/>
  <c r="K489" i="5"/>
  <c r="K487" i="5"/>
  <c r="L487" i="5" s="1"/>
  <c r="K486" i="5"/>
  <c r="L486" i="5" s="1"/>
  <c r="I477" i="5"/>
  <c r="AC474" i="5"/>
  <c r="I478" i="5"/>
  <c r="K488" i="5"/>
  <c r="I479" i="5"/>
  <c r="I480" i="5"/>
  <c r="G434" i="5"/>
  <c r="I433" i="5"/>
  <c r="Q358" i="5"/>
  <c r="S357" i="5"/>
  <c r="U357" i="5" s="1"/>
  <c r="AA357" i="5" s="1"/>
  <c r="V320" i="5"/>
  <c r="X319" i="5"/>
  <c r="Z319" i="5" s="1"/>
  <c r="V53" i="5"/>
  <c r="X52" i="5"/>
  <c r="Z52" i="5" s="1"/>
  <c r="AA52" i="5" s="1"/>
  <c r="S701" i="5"/>
  <c r="U701" i="5" s="1"/>
  <c r="Q702" i="5"/>
  <c r="L586" i="5"/>
  <c r="N585" i="5"/>
  <c r="P585" i="5" s="1"/>
  <c r="L510" i="5"/>
  <c r="N509" i="5"/>
  <c r="P509" i="5" s="1"/>
  <c r="G449" i="5"/>
  <c r="G448" i="5"/>
  <c r="H448" i="5" s="1"/>
  <c r="F439" i="5"/>
  <c r="F440" i="5"/>
  <c r="F441" i="5"/>
  <c r="G450" i="5"/>
  <c r="H450" i="5" s="1"/>
  <c r="AC435" i="5"/>
  <c r="V243" i="5"/>
  <c r="X242" i="5"/>
  <c r="Z242" i="5" s="1"/>
  <c r="D716" i="5"/>
  <c r="O563" i="5"/>
  <c r="P563" i="5" s="1"/>
  <c r="L554" i="5"/>
  <c r="O566" i="5"/>
  <c r="P566" i="5" s="1"/>
  <c r="L555" i="5"/>
  <c r="L553" i="5"/>
  <c r="O565" i="5"/>
  <c r="P565" i="5" s="1"/>
  <c r="O564" i="5"/>
  <c r="P564" i="5" s="1"/>
  <c r="O562" i="5"/>
  <c r="P562" i="5" s="1"/>
  <c r="L557" i="5"/>
  <c r="L556" i="5"/>
  <c r="L564" i="5"/>
  <c r="Q510" i="5"/>
  <c r="S509" i="5"/>
  <c r="U509" i="5" s="1"/>
  <c r="O396" i="5"/>
  <c r="M396" i="5"/>
  <c r="AC244" i="5"/>
  <c r="AC510" i="5"/>
  <c r="K166" i="5"/>
  <c r="H146" i="5"/>
  <c r="AC17" i="5"/>
  <c r="V129" i="5"/>
  <c r="X128" i="5"/>
  <c r="Z128" i="5" s="1"/>
  <c r="G205" i="5"/>
  <c r="I204" i="5"/>
  <c r="K204" i="5" s="1"/>
  <c r="L129" i="5"/>
  <c r="N128" i="5"/>
  <c r="O147" i="5"/>
  <c r="P147" i="5" s="1"/>
  <c r="O145" i="5"/>
  <c r="P145" i="5" s="1"/>
  <c r="L137" i="5"/>
  <c r="L136" i="5"/>
  <c r="L135" i="5"/>
  <c r="O143" i="5"/>
  <c r="P143" i="5" s="1"/>
  <c r="L138" i="5"/>
  <c r="O146" i="5"/>
  <c r="P146" i="5" s="1"/>
  <c r="L134" i="5"/>
  <c r="O144" i="5"/>
  <c r="P144" i="5" s="1"/>
  <c r="Z166" i="5"/>
  <c r="G335" i="12"/>
  <c r="H335" i="12" s="1"/>
  <c r="G15" i="12"/>
  <c r="I14" i="12"/>
  <c r="O15" i="12"/>
  <c r="M15" i="12"/>
  <c r="C105" i="12"/>
  <c r="D105" i="12" s="1"/>
  <c r="D107" i="12" s="1"/>
  <c r="C106" i="12"/>
  <c r="D106" i="12" s="1"/>
  <c r="C97" i="12"/>
  <c r="C96" i="12"/>
  <c r="P14" i="12"/>
  <c r="Z14" i="12"/>
  <c r="Y53" i="12"/>
  <c r="W53" i="12"/>
  <c r="H91" i="12"/>
  <c r="J91" i="12"/>
  <c r="V130" i="12"/>
  <c r="X129" i="12"/>
  <c r="Z52" i="12"/>
  <c r="G106" i="12"/>
  <c r="G105" i="12"/>
  <c r="H105" i="12" s="1"/>
  <c r="F98" i="12"/>
  <c r="F97" i="12"/>
  <c r="F96" i="12"/>
  <c r="G107" i="12"/>
  <c r="H107" i="12" s="1"/>
  <c r="R129" i="12"/>
  <c r="T129" i="12"/>
  <c r="C182" i="12"/>
  <c r="D182" i="12" s="1"/>
  <c r="C173" i="12"/>
  <c r="AC167" i="12"/>
  <c r="C172" i="12"/>
  <c r="C181" i="12"/>
  <c r="D181" i="12" s="1"/>
  <c r="D183" i="12" s="1"/>
  <c r="Q53" i="12"/>
  <c r="S52" i="12"/>
  <c r="AC92" i="12"/>
  <c r="AC93" i="12" s="1"/>
  <c r="J129" i="12"/>
  <c r="H129" i="12"/>
  <c r="AC15" i="12"/>
  <c r="C211" i="12"/>
  <c r="C210" i="12"/>
  <c r="C220" i="12"/>
  <c r="D220" i="12" s="1"/>
  <c r="C219" i="12"/>
  <c r="D219" i="12" s="1"/>
  <c r="J242" i="12"/>
  <c r="H242" i="12"/>
  <c r="V243" i="12"/>
  <c r="X242" i="12"/>
  <c r="G297" i="12"/>
  <c r="H297" i="12" s="1"/>
  <c r="G296" i="12"/>
  <c r="H296" i="12" s="1"/>
  <c r="G298" i="12"/>
  <c r="H298" i="12" s="1"/>
  <c r="F289" i="12"/>
  <c r="F288" i="12"/>
  <c r="Q358" i="12"/>
  <c r="S357" i="12"/>
  <c r="U357" i="12" s="1"/>
  <c r="G373" i="12"/>
  <c r="H373" i="12" s="1"/>
  <c r="G372" i="12"/>
  <c r="H372" i="12" s="1"/>
  <c r="G374" i="12"/>
  <c r="H374" i="12" s="1"/>
  <c r="F365" i="12"/>
  <c r="F364" i="12"/>
  <c r="AC359" i="12"/>
  <c r="J14" i="12"/>
  <c r="K14" i="12" s="1"/>
  <c r="N14" i="12"/>
  <c r="R14" i="12"/>
  <c r="V15" i="12"/>
  <c r="C29" i="12"/>
  <c r="D29" i="12" s="1"/>
  <c r="C30" i="12"/>
  <c r="D30" i="12" s="1"/>
  <c r="H52" i="12"/>
  <c r="T52" i="12"/>
  <c r="U52" i="12" s="1"/>
  <c r="X52" i="12"/>
  <c r="L53" i="12"/>
  <c r="I90" i="12"/>
  <c r="M90" i="12"/>
  <c r="R90" i="12"/>
  <c r="W90" i="12"/>
  <c r="I128" i="12"/>
  <c r="K128" i="12" s="1"/>
  <c r="T128" i="12"/>
  <c r="U128" i="12" s="1"/>
  <c r="X128" i="12"/>
  <c r="C144" i="12"/>
  <c r="D144" i="12" s="1"/>
  <c r="C143" i="12"/>
  <c r="D143" i="12" s="1"/>
  <c r="Y129" i="12"/>
  <c r="F134" i="12"/>
  <c r="F136" i="12"/>
  <c r="H166" i="12"/>
  <c r="T204" i="12"/>
  <c r="R204" i="12"/>
  <c r="X204" i="12"/>
  <c r="V205" i="12"/>
  <c r="R243" i="12"/>
  <c r="T243" i="12"/>
  <c r="Z242" i="12"/>
  <c r="AC283" i="12"/>
  <c r="AC284" i="12" s="1"/>
  <c r="L358" i="12"/>
  <c r="N357" i="12"/>
  <c r="F363" i="12"/>
  <c r="C20" i="12"/>
  <c r="C68" i="12"/>
  <c r="D68" i="12" s="1"/>
  <c r="C67" i="12"/>
  <c r="D67" i="12" s="1"/>
  <c r="AC53" i="12"/>
  <c r="J90" i="12"/>
  <c r="K90" i="12" s="1"/>
  <c r="Z128" i="12"/>
  <c r="F135" i="12"/>
  <c r="G144" i="12"/>
  <c r="H144" i="12" s="1"/>
  <c r="M166" i="12"/>
  <c r="R166" i="12"/>
  <c r="W166" i="12"/>
  <c r="Z204" i="12"/>
  <c r="AC205" i="12"/>
  <c r="R320" i="12"/>
  <c r="T320" i="12"/>
  <c r="V358" i="12"/>
  <c r="X357" i="12"/>
  <c r="Z357" i="12" s="1"/>
  <c r="C524" i="12"/>
  <c r="D524" i="12" s="1"/>
  <c r="C525" i="12"/>
  <c r="D525" i="12" s="1"/>
  <c r="C516" i="12"/>
  <c r="C515" i="12"/>
  <c r="G143" i="12"/>
  <c r="H143" i="12" s="1"/>
  <c r="H146" i="12" s="1"/>
  <c r="C59" i="12"/>
  <c r="L129" i="12"/>
  <c r="AC130" i="12"/>
  <c r="H204" i="12"/>
  <c r="J204" i="12"/>
  <c r="L205" i="12"/>
  <c r="N204" i="12"/>
  <c r="P204" i="12" s="1"/>
  <c r="P214" i="12"/>
  <c r="Y282" i="12"/>
  <c r="W282" i="12"/>
  <c r="F287" i="12"/>
  <c r="C373" i="12"/>
  <c r="D373" i="12" s="1"/>
  <c r="C372" i="12"/>
  <c r="D372" i="12" s="1"/>
  <c r="C363" i="12"/>
  <c r="C364" i="12"/>
  <c r="L396" i="12"/>
  <c r="N395" i="12"/>
  <c r="Q553" i="12"/>
  <c r="R553" i="12" s="1"/>
  <c r="T242" i="12"/>
  <c r="U242" i="12" s="1"/>
  <c r="L243" i="12"/>
  <c r="P281" i="12"/>
  <c r="G282" i="12"/>
  <c r="M282" i="12"/>
  <c r="G320" i="12"/>
  <c r="L320" i="12"/>
  <c r="W320" i="12"/>
  <c r="AC321" i="12"/>
  <c r="C325" i="12"/>
  <c r="G336" i="12"/>
  <c r="H336" i="12" s="1"/>
  <c r="J396" i="12"/>
  <c r="H396" i="12"/>
  <c r="P395" i="12"/>
  <c r="L434" i="12"/>
  <c r="N433" i="12"/>
  <c r="P433" i="12" s="1"/>
  <c r="Q510" i="12"/>
  <c r="S509" i="12"/>
  <c r="U509" i="12" s="1"/>
  <c r="AC586" i="12"/>
  <c r="C601" i="12"/>
  <c r="D601" i="12" s="1"/>
  <c r="C592" i="12"/>
  <c r="C591" i="12"/>
  <c r="C600" i="12"/>
  <c r="D600" i="12" s="1"/>
  <c r="T585" i="12"/>
  <c r="R585" i="12"/>
  <c r="AC587" i="12"/>
  <c r="C258" i="12"/>
  <c r="D258" i="12" s="1"/>
  <c r="C257" i="12"/>
  <c r="D257" i="12" s="1"/>
  <c r="D259" i="12" s="1"/>
  <c r="AC243" i="12"/>
  <c r="C296" i="12"/>
  <c r="D296" i="12" s="1"/>
  <c r="D298" i="12" s="1"/>
  <c r="G334" i="12"/>
  <c r="H334" i="12" s="1"/>
  <c r="P357" i="12"/>
  <c r="T395" i="12"/>
  <c r="R395" i="12"/>
  <c r="Y396" i="12"/>
  <c r="W396" i="12"/>
  <c r="G434" i="12"/>
  <c r="I433" i="12"/>
  <c r="K433" i="12" s="1"/>
  <c r="U433" i="12"/>
  <c r="C440" i="12"/>
  <c r="C439" i="12"/>
  <c r="C449" i="12"/>
  <c r="D449" i="12" s="1"/>
  <c r="AC434" i="12"/>
  <c r="C448" i="12"/>
  <c r="D448" i="12" s="1"/>
  <c r="V472" i="12"/>
  <c r="X471" i="12"/>
  <c r="Z471" i="12" s="1"/>
  <c r="Y510" i="12"/>
  <c r="W510" i="12"/>
  <c r="AC661" i="12"/>
  <c r="R661" i="12"/>
  <c r="M661" i="12"/>
  <c r="R281" i="12"/>
  <c r="X319" i="12"/>
  <c r="Z319" i="12" s="1"/>
  <c r="C335" i="12"/>
  <c r="D335" i="12" s="1"/>
  <c r="C334" i="12"/>
  <c r="D334" i="12" s="1"/>
  <c r="D336" i="12" s="1"/>
  <c r="F325" i="12"/>
  <c r="H357" i="12"/>
  <c r="F402" i="12"/>
  <c r="F401" i="12"/>
  <c r="G410" i="12"/>
  <c r="H410" i="12" s="1"/>
  <c r="G412" i="12"/>
  <c r="H412" i="12" s="1"/>
  <c r="F403" i="12"/>
  <c r="G411" i="12"/>
  <c r="S433" i="12"/>
  <c r="Q434" i="12"/>
  <c r="I471" i="12"/>
  <c r="K471" i="12" s="1"/>
  <c r="G472" i="12"/>
  <c r="Q472" i="12"/>
  <c r="S471" i="12"/>
  <c r="U471" i="12" s="1"/>
  <c r="O509" i="12"/>
  <c r="M509" i="12"/>
  <c r="J395" i="12"/>
  <c r="K395" i="12" s="1"/>
  <c r="AC472" i="12"/>
  <c r="AC473" i="12" s="1"/>
  <c r="C478" i="12"/>
  <c r="C486" i="12"/>
  <c r="D486" i="12" s="1"/>
  <c r="D488" i="12" s="1"/>
  <c r="H509" i="12"/>
  <c r="P519" i="12"/>
  <c r="J548" i="12"/>
  <c r="H548" i="12"/>
  <c r="C563" i="12"/>
  <c r="D563" i="12" s="1"/>
  <c r="C562" i="12"/>
  <c r="D562" i="12" s="1"/>
  <c r="D564" i="12" s="1"/>
  <c r="C554" i="12"/>
  <c r="AC548" i="12"/>
  <c r="C553" i="12"/>
  <c r="T548" i="12"/>
  <c r="H585" i="12"/>
  <c r="J585" i="12"/>
  <c r="Y585" i="12"/>
  <c r="W585" i="12"/>
  <c r="N623" i="12"/>
  <c r="P623" i="12" s="1"/>
  <c r="L624" i="12"/>
  <c r="V624" i="12"/>
  <c r="X623" i="12"/>
  <c r="Z623" i="12" s="1"/>
  <c r="G700" i="12"/>
  <c r="I699" i="12"/>
  <c r="T699" i="12"/>
  <c r="R699" i="12"/>
  <c r="AC737" i="12"/>
  <c r="AC738" i="12" s="1"/>
  <c r="M737" i="12"/>
  <c r="G776" i="12"/>
  <c r="I775" i="12"/>
  <c r="K775" i="12" s="1"/>
  <c r="AC397" i="12"/>
  <c r="AC398" i="12" s="1"/>
  <c r="P443" i="12"/>
  <c r="AC510" i="12"/>
  <c r="S548" i="12"/>
  <c r="Q549" i="12"/>
  <c r="V549" i="12"/>
  <c r="X548" i="12"/>
  <c r="Z548" i="12" s="1"/>
  <c r="R624" i="12"/>
  <c r="T624" i="12"/>
  <c r="G640" i="12"/>
  <c r="H640" i="12" s="1"/>
  <c r="AC625" i="12"/>
  <c r="G639" i="12"/>
  <c r="H639" i="12" s="1"/>
  <c r="F630" i="12"/>
  <c r="F631" i="12"/>
  <c r="F629" i="12"/>
  <c r="G638" i="12"/>
  <c r="H638" i="12" s="1"/>
  <c r="H641" i="12" s="1"/>
  <c r="W433" i="12"/>
  <c r="M471" i="12"/>
  <c r="Y509" i="12"/>
  <c r="Z509" i="12" s="1"/>
  <c r="G624" i="12"/>
  <c r="I623" i="12"/>
  <c r="K623" i="12" s="1"/>
  <c r="Y661" i="12"/>
  <c r="W661" i="12"/>
  <c r="Z547" i="12"/>
  <c r="AA547" i="12" s="1"/>
  <c r="M585" i="12"/>
  <c r="T623" i="12"/>
  <c r="U623" i="12" s="1"/>
  <c r="C639" i="12"/>
  <c r="D639" i="12" s="1"/>
  <c r="C638" i="12"/>
  <c r="D638" i="12" s="1"/>
  <c r="D640" i="12" s="1"/>
  <c r="H661" i="12"/>
  <c r="C715" i="12"/>
  <c r="D715" i="12" s="1"/>
  <c r="C714" i="12"/>
  <c r="D714" i="12" s="1"/>
  <c r="D716" i="12" s="1"/>
  <c r="C705" i="12"/>
  <c r="AC700" i="12"/>
  <c r="L548" i="12"/>
  <c r="W699" i="12"/>
  <c r="Y699" i="12"/>
  <c r="L700" i="12"/>
  <c r="N699" i="12"/>
  <c r="P699" i="12" s="1"/>
  <c r="H737" i="12"/>
  <c r="W737" i="12"/>
  <c r="P775" i="12"/>
  <c r="AC813" i="12"/>
  <c r="W813" i="12"/>
  <c r="R813" i="12"/>
  <c r="M813" i="12"/>
  <c r="K699" i="12"/>
  <c r="N775" i="12"/>
  <c r="L776" i="12"/>
  <c r="V776" i="12"/>
  <c r="X775" i="12"/>
  <c r="T737" i="12"/>
  <c r="R737" i="12"/>
  <c r="R776" i="12"/>
  <c r="T776" i="12"/>
  <c r="G792" i="12"/>
  <c r="H792" i="12" s="1"/>
  <c r="AC777" i="12"/>
  <c r="G791" i="12"/>
  <c r="H791" i="12" s="1"/>
  <c r="F782" i="12"/>
  <c r="F783" i="12"/>
  <c r="F781" i="12"/>
  <c r="G790" i="12"/>
  <c r="H790" i="12" s="1"/>
  <c r="H793" i="12" s="1"/>
  <c r="T775" i="12"/>
  <c r="U775" i="12" s="1"/>
  <c r="C791" i="12"/>
  <c r="D791" i="12" s="1"/>
  <c r="C790" i="12"/>
  <c r="D790" i="12" s="1"/>
  <c r="D792" i="12" s="1"/>
  <c r="H813" i="12"/>
  <c r="V890" i="12"/>
  <c r="X889" i="12"/>
  <c r="Z775" i="12"/>
  <c r="S889" i="12"/>
  <c r="Q890" i="12"/>
  <c r="O889" i="12"/>
  <c r="M889" i="12"/>
  <c r="H851" i="12"/>
  <c r="Y851" i="12"/>
  <c r="W851" i="12"/>
  <c r="AC852" i="12"/>
  <c r="G890" i="12"/>
  <c r="I889" i="12"/>
  <c r="K889" i="12" s="1"/>
  <c r="C858" i="12"/>
  <c r="C857" i="12"/>
  <c r="M851" i="12"/>
  <c r="O851" i="12"/>
  <c r="R851" i="12"/>
  <c r="AC853" i="12"/>
  <c r="AC854" i="12" s="1"/>
  <c r="C866" i="12"/>
  <c r="D866" i="12" s="1"/>
  <c r="D868" i="12" s="1"/>
  <c r="U889" i="12"/>
  <c r="AC890" i="12"/>
  <c r="AC891" i="12" s="1"/>
  <c r="Y889" i="12"/>
  <c r="Z889" i="12" s="1"/>
  <c r="AC889" i="12"/>
  <c r="S889" i="13"/>
  <c r="U889" i="13" s="1"/>
  <c r="Q890" i="13"/>
  <c r="X889" i="13"/>
  <c r="V890" i="13"/>
  <c r="H890" i="13"/>
  <c r="J890" i="13"/>
  <c r="I889" i="13"/>
  <c r="K889" i="13" s="1"/>
  <c r="M889" i="13"/>
  <c r="Y889" i="13"/>
  <c r="AC889" i="13"/>
  <c r="S851" i="13"/>
  <c r="Q852" i="13"/>
  <c r="Y852" i="13"/>
  <c r="W852" i="13"/>
  <c r="P851" i="13"/>
  <c r="H851" i="13"/>
  <c r="T851" i="13"/>
  <c r="X851" i="13"/>
  <c r="Z851" i="13" s="1"/>
  <c r="L852" i="13"/>
  <c r="AC852" i="13"/>
  <c r="C866" i="13"/>
  <c r="D866" i="13" s="1"/>
  <c r="D868" i="13" s="1"/>
  <c r="Q814" i="13"/>
  <c r="S813" i="13"/>
  <c r="W814" i="13"/>
  <c r="Y814" i="13"/>
  <c r="P813" i="13"/>
  <c r="H813" i="13"/>
  <c r="T813" i="13"/>
  <c r="U813" i="13" s="1"/>
  <c r="X813" i="13"/>
  <c r="Z813" i="13" s="1"/>
  <c r="L814" i="13"/>
  <c r="AC814" i="13"/>
  <c r="C828" i="13"/>
  <c r="D828" i="13" s="1"/>
  <c r="D830" i="13" s="1"/>
  <c r="Q776" i="13"/>
  <c r="S775" i="13"/>
  <c r="U775" i="13"/>
  <c r="H775" i="13"/>
  <c r="W775" i="13"/>
  <c r="M775" i="13"/>
  <c r="AC775" i="13"/>
  <c r="AC776" i="13" s="1"/>
  <c r="W738" i="13"/>
  <c r="Y738" i="13"/>
  <c r="P737" i="13"/>
  <c r="Z737" i="13"/>
  <c r="S737" i="13"/>
  <c r="Q738" i="13"/>
  <c r="H737" i="13"/>
  <c r="T737" i="13"/>
  <c r="U737" i="13" s="1"/>
  <c r="X737" i="13"/>
  <c r="L738" i="13"/>
  <c r="AC738" i="13"/>
  <c r="C752" i="13"/>
  <c r="D752" i="13" s="1"/>
  <c r="D754" i="13" s="1"/>
  <c r="H699" i="13"/>
  <c r="G700" i="13" s="1"/>
  <c r="J700" i="13" s="1"/>
  <c r="K699" i="13"/>
  <c r="V700" i="13"/>
  <c r="X699" i="13"/>
  <c r="S699" i="13"/>
  <c r="U699" i="13" s="1"/>
  <c r="Q700" i="13"/>
  <c r="I699" i="13"/>
  <c r="M699" i="13"/>
  <c r="Y699" i="13"/>
  <c r="AC699" i="13"/>
  <c r="S661" i="13"/>
  <c r="Q662" i="13"/>
  <c r="J662" i="13"/>
  <c r="H662" i="13"/>
  <c r="U661" i="13"/>
  <c r="V662" i="13"/>
  <c r="X661" i="13"/>
  <c r="Z661" i="13" s="1"/>
  <c r="I661" i="13"/>
  <c r="K661" i="13" s="1"/>
  <c r="AC662" i="13"/>
  <c r="C676" i="13"/>
  <c r="D676" i="13" s="1"/>
  <c r="D678" i="13" s="1"/>
  <c r="C677" i="13"/>
  <c r="D677" i="13" s="1"/>
  <c r="M661" i="13"/>
  <c r="C667" i="13"/>
  <c r="W624" i="13"/>
  <c r="R624" i="13"/>
  <c r="S624" i="13" s="1"/>
  <c r="M623" i="13"/>
  <c r="I624" i="13"/>
  <c r="K624" i="13" s="1"/>
  <c r="H625" i="13"/>
  <c r="I623" i="13"/>
  <c r="C630" i="13"/>
  <c r="C629" i="13"/>
  <c r="C639" i="13"/>
  <c r="D639" i="13" s="1"/>
  <c r="C638" i="13"/>
  <c r="D638" i="13" s="1"/>
  <c r="T624" i="13"/>
  <c r="K623" i="13"/>
  <c r="X623" i="13"/>
  <c r="Z623" i="13" s="1"/>
  <c r="AC624" i="13"/>
  <c r="C592" i="13"/>
  <c r="C591" i="13"/>
  <c r="C601" i="13"/>
  <c r="D601" i="13" s="1"/>
  <c r="C600" i="13"/>
  <c r="D600" i="13" s="1"/>
  <c r="D602" i="13" s="1"/>
  <c r="AC586" i="13"/>
  <c r="W586" i="13"/>
  <c r="Y586" i="13"/>
  <c r="X585" i="13"/>
  <c r="Z585" i="13" s="1"/>
  <c r="G586" i="13"/>
  <c r="I585" i="13"/>
  <c r="S585" i="13"/>
  <c r="U585" i="13" s="1"/>
  <c r="Q586" i="13"/>
  <c r="K585" i="13"/>
  <c r="O585" i="13"/>
  <c r="M585" i="13"/>
  <c r="W548" i="13"/>
  <c r="V549" i="13" s="1"/>
  <c r="W549" i="13" s="1"/>
  <c r="V550" i="13" s="1"/>
  <c r="Y550" i="13" s="1"/>
  <c r="W550" i="13"/>
  <c r="X550" i="13" s="1"/>
  <c r="AC548" i="13"/>
  <c r="F554" i="13" s="1"/>
  <c r="X548" i="13"/>
  <c r="X549" i="13"/>
  <c r="T547" i="13"/>
  <c r="U547" i="13" s="1"/>
  <c r="Z547" i="13"/>
  <c r="G563" i="13"/>
  <c r="H563" i="13" s="1"/>
  <c r="M547" i="13"/>
  <c r="I548" i="13"/>
  <c r="K548" i="13" s="1"/>
  <c r="Q548" i="13"/>
  <c r="Z548" i="13"/>
  <c r="H549" i="13"/>
  <c r="I547" i="13"/>
  <c r="K547" i="13" s="1"/>
  <c r="C554" i="13"/>
  <c r="C553" i="13"/>
  <c r="C563" i="13"/>
  <c r="D563" i="13" s="1"/>
  <c r="C562" i="13"/>
  <c r="D562" i="13" s="1"/>
  <c r="D564" i="13" s="1"/>
  <c r="P557" i="13"/>
  <c r="F553" i="13"/>
  <c r="Q510" i="13"/>
  <c r="S509" i="13"/>
  <c r="W510" i="13"/>
  <c r="Y510" i="13"/>
  <c r="P509" i="13"/>
  <c r="H509" i="13"/>
  <c r="T509" i="13"/>
  <c r="U509" i="13" s="1"/>
  <c r="X509" i="13"/>
  <c r="Z509" i="13" s="1"/>
  <c r="L510" i="13"/>
  <c r="AC510" i="13"/>
  <c r="C524" i="13"/>
  <c r="D524" i="13" s="1"/>
  <c r="D526" i="13" s="1"/>
  <c r="W471" i="13"/>
  <c r="X471" i="13" s="1"/>
  <c r="L472" i="13"/>
  <c r="N471" i="13"/>
  <c r="C478" i="13"/>
  <c r="C477" i="13"/>
  <c r="C486" i="13"/>
  <c r="D486" i="13" s="1"/>
  <c r="P471" i="13"/>
  <c r="AC472" i="13"/>
  <c r="V472" i="13"/>
  <c r="Y471" i="13"/>
  <c r="Z471" i="13" s="1"/>
  <c r="C487" i="13"/>
  <c r="D487" i="13" s="1"/>
  <c r="H471" i="13"/>
  <c r="R471" i="13"/>
  <c r="X433" i="13"/>
  <c r="V434" i="13"/>
  <c r="S433" i="13"/>
  <c r="U433" i="13" s="1"/>
  <c r="Q434" i="13"/>
  <c r="J434" i="13"/>
  <c r="H434" i="13"/>
  <c r="Z433" i="13"/>
  <c r="I433" i="13"/>
  <c r="K433" i="13" s="1"/>
  <c r="M433" i="13"/>
  <c r="C448" i="13"/>
  <c r="D448" i="13" s="1"/>
  <c r="C449" i="13"/>
  <c r="D449" i="13" s="1"/>
  <c r="AC434" i="13"/>
  <c r="C439" i="13"/>
  <c r="W396" i="13"/>
  <c r="R396" i="13"/>
  <c r="S396" i="13" s="1"/>
  <c r="M395" i="13"/>
  <c r="I396" i="13"/>
  <c r="K396" i="13" s="1"/>
  <c r="H397" i="13"/>
  <c r="I395" i="13"/>
  <c r="C402" i="13"/>
  <c r="C401" i="13"/>
  <c r="C411" i="13"/>
  <c r="D411" i="13" s="1"/>
  <c r="C410" i="13"/>
  <c r="D410" i="13" s="1"/>
  <c r="T396" i="13"/>
  <c r="Q397" i="13"/>
  <c r="K395" i="13"/>
  <c r="X395" i="13"/>
  <c r="Z395" i="13" s="1"/>
  <c r="AC396" i="13"/>
  <c r="F364" i="13"/>
  <c r="F363" i="13"/>
  <c r="G373" i="13"/>
  <c r="H373" i="13" s="1"/>
  <c r="G372" i="13"/>
  <c r="H372" i="13" s="1"/>
  <c r="AC359" i="13"/>
  <c r="AC360" i="13" s="1"/>
  <c r="J357" i="13"/>
  <c r="K357" i="13" s="1"/>
  <c r="M357" i="13"/>
  <c r="R357" i="13"/>
  <c r="W357" i="13"/>
  <c r="G358" i="13"/>
  <c r="F365" i="13"/>
  <c r="J320" i="13"/>
  <c r="H320" i="13"/>
  <c r="W320" i="13"/>
  <c r="Y320" i="13"/>
  <c r="S319" i="13"/>
  <c r="U319" i="13" s="1"/>
  <c r="Q320" i="13"/>
  <c r="K319" i="13"/>
  <c r="AC320" i="13"/>
  <c r="I319" i="13"/>
  <c r="M319" i="13"/>
  <c r="AC319" i="13"/>
  <c r="C288" i="13"/>
  <c r="C287" i="13"/>
  <c r="C297" i="13"/>
  <c r="D297" i="13" s="1"/>
  <c r="C296" i="13"/>
  <c r="D296" i="13" s="1"/>
  <c r="D298" i="13" s="1"/>
  <c r="AC283" i="13"/>
  <c r="AC284" i="13" s="1"/>
  <c r="AC282" i="13"/>
  <c r="V282" i="13"/>
  <c r="Y281" i="13"/>
  <c r="Z281" i="13" s="1"/>
  <c r="H281" i="13"/>
  <c r="M281" i="13"/>
  <c r="R281" i="13"/>
  <c r="M242" i="13"/>
  <c r="N242" i="13" s="1"/>
  <c r="P252" i="13"/>
  <c r="C249" i="13"/>
  <c r="W242" i="13"/>
  <c r="V243" i="13" s="1"/>
  <c r="C248" i="13"/>
  <c r="H242" i="13"/>
  <c r="I242" i="13" s="1"/>
  <c r="K242" i="13" s="1"/>
  <c r="R242" i="13"/>
  <c r="Q243" i="13" s="1"/>
  <c r="R243" i="13" s="1"/>
  <c r="Q244" i="13" s="1"/>
  <c r="X242" i="13"/>
  <c r="Z242" i="13" s="1"/>
  <c r="O242" i="13"/>
  <c r="P242" i="13" s="1"/>
  <c r="L243" i="13"/>
  <c r="AC243" i="13"/>
  <c r="C257" i="13"/>
  <c r="D257" i="13" s="1"/>
  <c r="D259" i="13" s="1"/>
  <c r="P213" i="13"/>
  <c r="P212" i="13"/>
  <c r="P211" i="13"/>
  <c r="P210" i="13"/>
  <c r="E207" i="13"/>
  <c r="E206" i="13"/>
  <c r="E205" i="13"/>
  <c r="V204" i="13"/>
  <c r="Q204" i="13"/>
  <c r="T204" i="13" s="1"/>
  <c r="L204" i="13"/>
  <c r="O204" i="13" s="1"/>
  <c r="G204" i="13"/>
  <c r="J204" i="13" s="1"/>
  <c r="E204" i="13"/>
  <c r="H204" i="13" s="1"/>
  <c r="G205" i="13" s="1"/>
  <c r="T199" i="13"/>
  <c r="T198" i="13"/>
  <c r="T197" i="13"/>
  <c r="T196" i="13"/>
  <c r="P175" i="13"/>
  <c r="P174" i="13"/>
  <c r="P173" i="13"/>
  <c r="P172" i="13"/>
  <c r="E169" i="13"/>
  <c r="E168" i="13"/>
  <c r="E167" i="13"/>
  <c r="V166" i="13"/>
  <c r="Q166" i="13"/>
  <c r="T166" i="13" s="1"/>
  <c r="L166" i="13"/>
  <c r="O166" i="13" s="1"/>
  <c r="G166" i="13"/>
  <c r="J166" i="13" s="1"/>
  <c r="E166" i="13"/>
  <c r="AC166" i="13" s="1"/>
  <c r="T161" i="13"/>
  <c r="T160" i="13"/>
  <c r="T159" i="13"/>
  <c r="T158" i="13"/>
  <c r="P137" i="13"/>
  <c r="P136" i="13"/>
  <c r="P135" i="13"/>
  <c r="P134" i="13"/>
  <c r="E131" i="13"/>
  <c r="E130" i="13"/>
  <c r="E129" i="13"/>
  <c r="Y128" i="13"/>
  <c r="V128" i="13"/>
  <c r="Q128" i="13"/>
  <c r="L128" i="13"/>
  <c r="O128" i="13" s="1"/>
  <c r="G128" i="13"/>
  <c r="J128" i="13" s="1"/>
  <c r="E128" i="13"/>
  <c r="W128" i="13" s="1"/>
  <c r="V129" i="13" s="1"/>
  <c r="T123" i="13"/>
  <c r="T122" i="13"/>
  <c r="T121" i="13"/>
  <c r="T120" i="13"/>
  <c r="P99" i="13"/>
  <c r="P98" i="13"/>
  <c r="P97" i="13"/>
  <c r="P96" i="13"/>
  <c r="E93" i="13"/>
  <c r="E92" i="13"/>
  <c r="E91" i="13"/>
  <c r="V90" i="13"/>
  <c r="Y90" i="13" s="1"/>
  <c r="Q90" i="13"/>
  <c r="T90" i="13" s="1"/>
  <c r="O90" i="13"/>
  <c r="L90" i="13"/>
  <c r="G90" i="13"/>
  <c r="J90" i="13" s="1"/>
  <c r="E90" i="13"/>
  <c r="AC90" i="13" s="1"/>
  <c r="T85" i="13"/>
  <c r="T84" i="13"/>
  <c r="T83" i="13"/>
  <c r="T82" i="13"/>
  <c r="P61" i="13"/>
  <c r="P60" i="13"/>
  <c r="P59" i="13"/>
  <c r="P58" i="13"/>
  <c r="E55" i="13"/>
  <c r="E54" i="13"/>
  <c r="E53" i="13"/>
  <c r="AC52" i="13"/>
  <c r="C68" i="13" s="1"/>
  <c r="D68" i="13" s="1"/>
  <c r="V52" i="13"/>
  <c r="Q52" i="13"/>
  <c r="T52" i="13" s="1"/>
  <c r="L52" i="13"/>
  <c r="G52" i="13"/>
  <c r="J52" i="13" s="1"/>
  <c r="E52" i="13"/>
  <c r="T47" i="13"/>
  <c r="T46" i="13"/>
  <c r="T45" i="13"/>
  <c r="T44" i="13"/>
  <c r="P23" i="13"/>
  <c r="P22" i="13"/>
  <c r="P21" i="13"/>
  <c r="P20" i="13"/>
  <c r="E17" i="13"/>
  <c r="E16" i="13"/>
  <c r="E15" i="13"/>
  <c r="V14" i="13"/>
  <c r="T14" i="13"/>
  <c r="Q14" i="13"/>
  <c r="L14" i="13"/>
  <c r="O14" i="13" s="1"/>
  <c r="G14" i="13"/>
  <c r="J14" i="13" s="1"/>
  <c r="E14" i="13"/>
  <c r="AC14" i="13" s="1"/>
  <c r="C21" i="13" s="1"/>
  <c r="T9" i="13"/>
  <c r="T8" i="13"/>
  <c r="T7" i="13"/>
  <c r="T6" i="13"/>
  <c r="P18" i="11"/>
  <c r="P21" i="11"/>
  <c r="E15" i="11"/>
  <c r="E14" i="11"/>
  <c r="E13" i="11"/>
  <c r="AC13" i="11" s="1"/>
  <c r="V12" i="11"/>
  <c r="Y12" i="11" s="1"/>
  <c r="Q12" i="11"/>
  <c r="T12" i="11" s="1"/>
  <c r="L12" i="11"/>
  <c r="G12" i="11"/>
  <c r="J12" i="11" s="1"/>
  <c r="E12" i="11"/>
  <c r="AC12" i="11" s="1"/>
  <c r="T7" i="11"/>
  <c r="T6" i="11"/>
  <c r="T5" i="11"/>
  <c r="T4" i="11"/>
  <c r="AB13" i="18" l="1"/>
  <c r="R19" i="18"/>
  <c r="E18" i="18"/>
  <c r="S14" i="18"/>
  <c r="U14" i="18" s="1"/>
  <c r="Q15" i="18"/>
  <c r="V15" i="18"/>
  <c r="X14" i="18"/>
  <c r="Z14" i="18" s="1"/>
  <c r="O14" i="18"/>
  <c r="M14" i="18"/>
  <c r="H15" i="18"/>
  <c r="I15" i="18" s="1"/>
  <c r="J15" i="18"/>
  <c r="R19" i="17"/>
  <c r="AB13" i="17"/>
  <c r="E18" i="17"/>
  <c r="U15" i="17"/>
  <c r="O14" i="17"/>
  <c r="M14" i="17"/>
  <c r="J14" i="16"/>
  <c r="H14" i="16"/>
  <c r="B19" i="16"/>
  <c r="Y15" i="16"/>
  <c r="W15" i="16"/>
  <c r="X15" i="16" s="1"/>
  <c r="Q15" i="16"/>
  <c r="S14" i="16"/>
  <c r="AA13" i="16"/>
  <c r="M14" i="16"/>
  <c r="O14" i="16"/>
  <c r="U14" i="16"/>
  <c r="M12" i="11"/>
  <c r="L376" i="6"/>
  <c r="L300" i="6"/>
  <c r="L147" i="6"/>
  <c r="L33" i="6"/>
  <c r="P31" i="6"/>
  <c r="P33" i="6"/>
  <c r="B553" i="6"/>
  <c r="AB547" i="6"/>
  <c r="Q287" i="6"/>
  <c r="R287" i="6" s="1"/>
  <c r="AA281" i="6"/>
  <c r="Q477" i="6"/>
  <c r="R477" i="6" s="1"/>
  <c r="AA471" i="6"/>
  <c r="AA433" i="6"/>
  <c r="Q439" i="6"/>
  <c r="R439" i="6" s="1"/>
  <c r="AA851" i="6"/>
  <c r="Q857" i="6"/>
  <c r="R857" i="6" s="1"/>
  <c r="AA166" i="6"/>
  <c r="Q172" i="6"/>
  <c r="R172" i="6" s="1"/>
  <c r="AA52" i="6"/>
  <c r="Q58" i="6"/>
  <c r="R58" i="6" s="1"/>
  <c r="B134" i="6"/>
  <c r="AB128" i="6"/>
  <c r="F478" i="6"/>
  <c r="F477" i="6"/>
  <c r="G487" i="6"/>
  <c r="H487" i="6" s="1"/>
  <c r="G486" i="6"/>
  <c r="H486" i="6" s="1"/>
  <c r="H489" i="6" s="1"/>
  <c r="G488" i="6"/>
  <c r="H488" i="6" s="1"/>
  <c r="F479" i="6"/>
  <c r="AC473" i="6"/>
  <c r="J472" i="6"/>
  <c r="H472" i="6"/>
  <c r="W624" i="6"/>
  <c r="Y624" i="6"/>
  <c r="AA661" i="6"/>
  <c r="N814" i="6"/>
  <c r="L815" i="6"/>
  <c r="P870" i="6"/>
  <c r="H663" i="6"/>
  <c r="J663" i="6"/>
  <c r="O129" i="6"/>
  <c r="M129" i="6"/>
  <c r="V206" i="6"/>
  <c r="X205" i="6"/>
  <c r="L138" i="6"/>
  <c r="O146" i="6"/>
  <c r="P146" i="6" s="1"/>
  <c r="O144" i="6"/>
  <c r="P144" i="6" s="1"/>
  <c r="O143" i="6"/>
  <c r="P143" i="6" s="1"/>
  <c r="L137" i="6"/>
  <c r="L136" i="6"/>
  <c r="O147" i="6"/>
  <c r="P147" i="6" s="1"/>
  <c r="O145" i="6"/>
  <c r="P145" i="6" s="1"/>
  <c r="L135" i="6"/>
  <c r="L134" i="6"/>
  <c r="G321" i="6"/>
  <c r="I320" i="6"/>
  <c r="AA357" i="6"/>
  <c r="O548" i="6"/>
  <c r="M548" i="6"/>
  <c r="V473" i="6"/>
  <c r="X472" i="6"/>
  <c r="V891" i="6"/>
  <c r="X890" i="6"/>
  <c r="I820" i="6"/>
  <c r="I819" i="6"/>
  <c r="K830" i="6"/>
  <c r="L830" i="6" s="1"/>
  <c r="K831" i="6"/>
  <c r="L831" i="6" s="1"/>
  <c r="K828" i="6"/>
  <c r="L828" i="6" s="1"/>
  <c r="I821" i="6"/>
  <c r="AC816" i="6"/>
  <c r="I822" i="6"/>
  <c r="K829" i="6"/>
  <c r="L829" i="6" s="1"/>
  <c r="L870" i="6"/>
  <c r="P32" i="6"/>
  <c r="U320" i="6"/>
  <c r="R206" i="6"/>
  <c r="T206" i="6"/>
  <c r="O738" i="6"/>
  <c r="M738" i="6"/>
  <c r="M890" i="6"/>
  <c r="O890" i="6"/>
  <c r="T776" i="6"/>
  <c r="R776" i="6"/>
  <c r="G69" i="6"/>
  <c r="H69" i="6" s="1"/>
  <c r="F60" i="6"/>
  <c r="F59" i="6"/>
  <c r="F58" i="6"/>
  <c r="G68" i="6"/>
  <c r="H68" i="6" s="1"/>
  <c r="G67" i="6"/>
  <c r="H67" i="6" s="1"/>
  <c r="AC54" i="6"/>
  <c r="O15" i="6"/>
  <c r="M15" i="6"/>
  <c r="N205" i="6"/>
  <c r="L206" i="6"/>
  <c r="W321" i="6"/>
  <c r="Y321" i="6"/>
  <c r="W168" i="6"/>
  <c r="Y168" i="6"/>
  <c r="J205" i="6"/>
  <c r="H205" i="6"/>
  <c r="H260" i="6"/>
  <c r="L414" i="6"/>
  <c r="L642" i="6"/>
  <c r="S642" i="6" s="1"/>
  <c r="T510" i="6"/>
  <c r="R510" i="6"/>
  <c r="AA623" i="6"/>
  <c r="L794" i="6"/>
  <c r="B401" i="6"/>
  <c r="AB395" i="6"/>
  <c r="AA319" i="6"/>
  <c r="O223" i="6"/>
  <c r="P223" i="6" s="1"/>
  <c r="O221" i="6"/>
  <c r="P221" i="6" s="1"/>
  <c r="L211" i="6"/>
  <c r="L210" i="6"/>
  <c r="L214" i="6"/>
  <c r="O219" i="6"/>
  <c r="P219" i="6" s="1"/>
  <c r="L213" i="6"/>
  <c r="O222" i="6"/>
  <c r="P222" i="6" s="1"/>
  <c r="L212" i="6"/>
  <c r="O220" i="6"/>
  <c r="P220" i="6" s="1"/>
  <c r="L222" i="6"/>
  <c r="P601" i="6"/>
  <c r="P603" i="6"/>
  <c r="AA509" i="6"/>
  <c r="P372" i="6"/>
  <c r="J16" i="6"/>
  <c r="H16" i="6"/>
  <c r="B20" i="6"/>
  <c r="AB14" i="6"/>
  <c r="O167" i="6"/>
  <c r="M167" i="6"/>
  <c r="D259" i="6"/>
  <c r="L397" i="6"/>
  <c r="N396" i="6"/>
  <c r="D336" i="6"/>
  <c r="T397" i="6"/>
  <c r="R397" i="6"/>
  <c r="L602" i="6"/>
  <c r="L604" i="6" s="1"/>
  <c r="X700" i="6"/>
  <c r="V701" i="6"/>
  <c r="P814" i="6"/>
  <c r="P869" i="6"/>
  <c r="P871" i="6" s="1"/>
  <c r="W738" i="6"/>
  <c r="Y738" i="6"/>
  <c r="Z205" i="6"/>
  <c r="S167" i="6"/>
  <c r="U167" i="6" s="1"/>
  <c r="Q168" i="6"/>
  <c r="K320" i="6"/>
  <c r="O434" i="6"/>
  <c r="M434" i="6"/>
  <c r="H359" i="6"/>
  <c r="J359" i="6"/>
  <c r="H398" i="6"/>
  <c r="I398" i="6" s="1"/>
  <c r="J398" i="6"/>
  <c r="Z472" i="6"/>
  <c r="Z662" i="6"/>
  <c r="Q701" i="6"/>
  <c r="S700" i="6"/>
  <c r="L701" i="6"/>
  <c r="N700" i="6"/>
  <c r="P700" i="6" s="1"/>
  <c r="K717" i="6"/>
  <c r="L717" i="6" s="1"/>
  <c r="K715" i="6"/>
  <c r="L715" i="6" s="1"/>
  <c r="K714" i="6"/>
  <c r="L714" i="6" s="1"/>
  <c r="I708" i="6"/>
  <c r="I707" i="6"/>
  <c r="K716" i="6"/>
  <c r="L716" i="6" s="1"/>
  <c r="I706" i="6"/>
  <c r="I705" i="6"/>
  <c r="AC702" i="6"/>
  <c r="Z890" i="6"/>
  <c r="Q895" i="6"/>
  <c r="R895" i="6" s="1"/>
  <c r="AA889" i="6"/>
  <c r="H755" i="6"/>
  <c r="H717" i="6"/>
  <c r="Y91" i="6"/>
  <c r="W91" i="6"/>
  <c r="S320" i="6"/>
  <c r="Q321" i="6"/>
  <c r="G168" i="6"/>
  <c r="I167" i="6"/>
  <c r="S129" i="6"/>
  <c r="U129" i="6" s="1"/>
  <c r="Q130" i="6"/>
  <c r="H243" i="6"/>
  <c r="J243" i="6"/>
  <c r="P643" i="6"/>
  <c r="O852" i="6"/>
  <c r="M852" i="6"/>
  <c r="Y54" i="6"/>
  <c r="W54" i="6"/>
  <c r="Y243" i="6"/>
  <c r="W243" i="6"/>
  <c r="W358" i="6"/>
  <c r="Y358" i="6"/>
  <c r="X283" i="6"/>
  <c r="Z283" i="6" s="1"/>
  <c r="V284" i="6"/>
  <c r="L566" i="6"/>
  <c r="T738" i="6"/>
  <c r="R738" i="6"/>
  <c r="L511" i="6"/>
  <c r="N510" i="6"/>
  <c r="W510" i="6"/>
  <c r="Y510" i="6"/>
  <c r="S548" i="6"/>
  <c r="U548" i="6" s="1"/>
  <c r="Q549" i="6"/>
  <c r="K337" i="6"/>
  <c r="L337" i="6" s="1"/>
  <c r="K335" i="6"/>
  <c r="L335" i="6" s="1"/>
  <c r="K334" i="6"/>
  <c r="L334" i="6" s="1"/>
  <c r="I328" i="6"/>
  <c r="K336" i="6"/>
  <c r="L336" i="6" s="1"/>
  <c r="I326" i="6"/>
  <c r="I325" i="6"/>
  <c r="I327" i="6"/>
  <c r="AC322" i="6"/>
  <c r="H337" i="6"/>
  <c r="P602" i="6"/>
  <c r="P373" i="6"/>
  <c r="P396" i="6"/>
  <c r="S434" i="6"/>
  <c r="U434" i="6" s="1"/>
  <c r="Q435" i="6"/>
  <c r="R815" i="6"/>
  <c r="T815" i="6"/>
  <c r="K678" i="6"/>
  <c r="L678" i="6" s="1"/>
  <c r="I668" i="6"/>
  <c r="I667" i="6"/>
  <c r="K676" i="6"/>
  <c r="L676" i="6" s="1"/>
  <c r="I670" i="6"/>
  <c r="K677" i="6"/>
  <c r="L677" i="6" s="1"/>
  <c r="I669" i="6"/>
  <c r="K679" i="6"/>
  <c r="L679" i="6" s="1"/>
  <c r="AC664" i="6"/>
  <c r="Z700" i="6"/>
  <c r="G92" i="6"/>
  <c r="I91" i="6"/>
  <c r="K91" i="6" s="1"/>
  <c r="J130" i="6"/>
  <c r="H130" i="6"/>
  <c r="M91" i="6"/>
  <c r="O91" i="6"/>
  <c r="X586" i="6"/>
  <c r="Z586" i="6" s="1"/>
  <c r="V587" i="6"/>
  <c r="G435" i="6"/>
  <c r="I434" i="6"/>
  <c r="K434" i="6" s="1"/>
  <c r="K526" i="6"/>
  <c r="L526" i="6" s="1"/>
  <c r="I516" i="6"/>
  <c r="I515" i="6"/>
  <c r="K527" i="6"/>
  <c r="L527" i="6" s="1"/>
  <c r="K525" i="6"/>
  <c r="L525" i="6" s="1"/>
  <c r="I518" i="6"/>
  <c r="AC512" i="6"/>
  <c r="K524" i="6"/>
  <c r="L524" i="6" s="1"/>
  <c r="I517" i="6"/>
  <c r="T587" i="6"/>
  <c r="R587" i="6"/>
  <c r="J550" i="6"/>
  <c r="H550" i="6"/>
  <c r="I550" i="6" s="1"/>
  <c r="X662" i="6"/>
  <c r="V663" i="6"/>
  <c r="U700" i="6"/>
  <c r="Q743" i="6"/>
  <c r="R743" i="6" s="1"/>
  <c r="AA737" i="6"/>
  <c r="Z776" i="6"/>
  <c r="S852" i="6"/>
  <c r="U852" i="6" s="1"/>
  <c r="Q853" i="6"/>
  <c r="K907" i="6"/>
  <c r="L907" i="6" s="1"/>
  <c r="K905" i="6"/>
  <c r="L905" i="6" s="1"/>
  <c r="K904" i="6"/>
  <c r="L904" i="6" s="1"/>
  <c r="I898" i="6"/>
  <c r="I897" i="6"/>
  <c r="K906" i="6"/>
  <c r="L906" i="6" s="1"/>
  <c r="I896" i="6"/>
  <c r="I895" i="6"/>
  <c r="AC892" i="6"/>
  <c r="R891" i="6"/>
  <c r="T891" i="6"/>
  <c r="P29" i="6"/>
  <c r="S358" i="6"/>
  <c r="Q359" i="6"/>
  <c r="K167" i="6"/>
  <c r="Q248" i="6"/>
  <c r="R248" i="6" s="1"/>
  <c r="AA242" i="6"/>
  <c r="N472" i="6"/>
  <c r="P472" i="6" s="1"/>
  <c r="L473" i="6"/>
  <c r="L587" i="6"/>
  <c r="N586" i="6"/>
  <c r="P586" i="6" s="1"/>
  <c r="AB775" i="6"/>
  <c r="B781" i="6"/>
  <c r="Q54" i="6"/>
  <c r="S53" i="6"/>
  <c r="U53" i="6" s="1"/>
  <c r="O565" i="6"/>
  <c r="P565" i="6" s="1"/>
  <c r="O563" i="6"/>
  <c r="P563" i="6" s="1"/>
  <c r="O562" i="6"/>
  <c r="P562" i="6" s="1"/>
  <c r="L556" i="6"/>
  <c r="L555" i="6"/>
  <c r="O566" i="6"/>
  <c r="P566" i="6" s="1"/>
  <c r="O564" i="6"/>
  <c r="P564" i="6" s="1"/>
  <c r="L553" i="6"/>
  <c r="L557" i="6"/>
  <c r="L554" i="6"/>
  <c r="X397" i="6"/>
  <c r="Z397" i="6" s="1"/>
  <c r="V398" i="6"/>
  <c r="P510" i="6"/>
  <c r="S624" i="6"/>
  <c r="U624" i="6" s="1"/>
  <c r="Q625" i="6"/>
  <c r="L785" i="6"/>
  <c r="O793" i="6"/>
  <c r="P793" i="6" s="1"/>
  <c r="O791" i="6"/>
  <c r="P791" i="6" s="1"/>
  <c r="O790" i="6"/>
  <c r="P790" i="6" s="1"/>
  <c r="L784" i="6"/>
  <c r="L783" i="6"/>
  <c r="O794" i="6"/>
  <c r="P794" i="6" s="1"/>
  <c r="O792" i="6"/>
  <c r="P792" i="6" s="1"/>
  <c r="L782" i="6"/>
  <c r="L781" i="6"/>
  <c r="AA90" i="6"/>
  <c r="L219" i="6"/>
  <c r="P376" i="6"/>
  <c r="P375" i="6"/>
  <c r="W16" i="6"/>
  <c r="Y16" i="6"/>
  <c r="J53" i="6"/>
  <c r="H53" i="6"/>
  <c r="K260" i="6"/>
  <c r="L260" i="6" s="1"/>
  <c r="K258" i="6"/>
  <c r="L258" i="6" s="1"/>
  <c r="K257" i="6"/>
  <c r="L257" i="6" s="1"/>
  <c r="I251" i="6"/>
  <c r="I250" i="6"/>
  <c r="K259" i="6"/>
  <c r="L259" i="6" s="1"/>
  <c r="I249" i="6"/>
  <c r="I248" i="6"/>
  <c r="AC245" i="6"/>
  <c r="H222" i="6"/>
  <c r="L283" i="6"/>
  <c r="N282" i="6"/>
  <c r="P282" i="6" s="1"/>
  <c r="T282" i="6"/>
  <c r="R282" i="6"/>
  <c r="I440" i="6"/>
  <c r="I439" i="6"/>
  <c r="K451" i="6"/>
  <c r="L451" i="6" s="1"/>
  <c r="K449" i="6"/>
  <c r="L449" i="6" s="1"/>
  <c r="K448" i="6"/>
  <c r="L448" i="6" s="1"/>
  <c r="I442" i="6"/>
  <c r="I441" i="6"/>
  <c r="K450" i="6"/>
  <c r="L450" i="6" s="1"/>
  <c r="AC436" i="6"/>
  <c r="R473" i="6"/>
  <c r="T473" i="6"/>
  <c r="H701" i="6"/>
  <c r="J701" i="6"/>
  <c r="H625" i="6"/>
  <c r="J625" i="6"/>
  <c r="AB699" i="6"/>
  <c r="B705" i="6"/>
  <c r="K755" i="6"/>
  <c r="L755" i="6" s="1"/>
  <c r="K753" i="6"/>
  <c r="L753" i="6" s="1"/>
  <c r="K752" i="6"/>
  <c r="L752" i="6" s="1"/>
  <c r="L756" i="6" s="1"/>
  <c r="I746" i="6"/>
  <c r="I745" i="6"/>
  <c r="K754" i="6"/>
  <c r="L754" i="6" s="1"/>
  <c r="I744" i="6"/>
  <c r="I743" i="6"/>
  <c r="AC740" i="6"/>
  <c r="N53" i="6"/>
  <c r="P53" i="6" s="1"/>
  <c r="L54" i="6"/>
  <c r="O320" i="6"/>
  <c r="M320" i="6"/>
  <c r="I173" i="6"/>
  <c r="I172" i="6"/>
  <c r="K184" i="6"/>
  <c r="L184" i="6" s="1"/>
  <c r="K182" i="6"/>
  <c r="L182" i="6" s="1"/>
  <c r="K181" i="6"/>
  <c r="L181" i="6" s="1"/>
  <c r="L185" i="6" s="1"/>
  <c r="I175" i="6"/>
  <c r="I174" i="6"/>
  <c r="K183" i="6"/>
  <c r="L183" i="6" s="1"/>
  <c r="AC169" i="6"/>
  <c r="M243" i="6"/>
  <c r="O243" i="6"/>
  <c r="H283" i="6"/>
  <c r="J283" i="6"/>
  <c r="H777" i="6"/>
  <c r="J777" i="6"/>
  <c r="O359" i="6"/>
  <c r="M359" i="6"/>
  <c r="W435" i="6"/>
  <c r="Y435" i="6"/>
  <c r="G587" i="6"/>
  <c r="I586" i="6"/>
  <c r="K586" i="6" s="1"/>
  <c r="L663" i="6"/>
  <c r="N662" i="6"/>
  <c r="P662" i="6" s="1"/>
  <c r="H738" i="6"/>
  <c r="J738" i="6"/>
  <c r="X776" i="6"/>
  <c r="V777" i="6"/>
  <c r="G853" i="6"/>
  <c r="I852" i="6"/>
  <c r="K852" i="6" s="1"/>
  <c r="P30" i="6"/>
  <c r="Q244" i="6"/>
  <c r="S243" i="6"/>
  <c r="U243" i="6" s="1"/>
  <c r="U358" i="6"/>
  <c r="Q210" i="6"/>
  <c r="R210" i="6" s="1"/>
  <c r="AA204" i="6"/>
  <c r="L291" i="6"/>
  <c r="O299" i="6"/>
  <c r="P299" i="6" s="1"/>
  <c r="O297" i="6"/>
  <c r="P297" i="6" s="1"/>
  <c r="O296" i="6"/>
  <c r="P296" i="6" s="1"/>
  <c r="L290" i="6"/>
  <c r="L289" i="6"/>
  <c r="O300" i="6"/>
  <c r="P300" i="6" s="1"/>
  <c r="O298" i="6"/>
  <c r="P298" i="6" s="1"/>
  <c r="L288" i="6"/>
  <c r="L287" i="6"/>
  <c r="H603" i="6"/>
  <c r="T662" i="6"/>
  <c r="R662" i="6"/>
  <c r="G815" i="6"/>
  <c r="I814" i="6"/>
  <c r="K814" i="6" s="1"/>
  <c r="J890" i="6"/>
  <c r="H890" i="6"/>
  <c r="W853" i="6"/>
  <c r="Y853" i="6"/>
  <c r="K107" i="6"/>
  <c r="L107" i="6" s="1"/>
  <c r="I97" i="6"/>
  <c r="I96" i="6"/>
  <c r="K108" i="6"/>
  <c r="L108" i="6" s="1"/>
  <c r="K106" i="6"/>
  <c r="L106" i="6" s="1"/>
  <c r="K105" i="6"/>
  <c r="L105" i="6" s="1"/>
  <c r="I99" i="6"/>
  <c r="I98" i="6"/>
  <c r="AC93" i="6"/>
  <c r="S15" i="6"/>
  <c r="U15" i="6" s="1"/>
  <c r="Q16" i="6"/>
  <c r="T91" i="6"/>
  <c r="R91" i="6"/>
  <c r="P205" i="6"/>
  <c r="L405" i="6"/>
  <c r="O413" i="6"/>
  <c r="P413" i="6" s="1"/>
  <c r="O411" i="6"/>
  <c r="P411" i="6" s="1"/>
  <c r="O410" i="6"/>
  <c r="P410" i="6" s="1"/>
  <c r="L404" i="6"/>
  <c r="L403" i="6"/>
  <c r="O414" i="6"/>
  <c r="P414" i="6" s="1"/>
  <c r="O412" i="6"/>
  <c r="P412" i="6" s="1"/>
  <c r="L402" i="6"/>
  <c r="L401" i="6"/>
  <c r="L777" i="6"/>
  <c r="N776" i="6"/>
  <c r="P776" i="6" s="1"/>
  <c r="AB585" i="6"/>
  <c r="B591" i="6"/>
  <c r="O625" i="6"/>
  <c r="M625" i="6"/>
  <c r="B819" i="6"/>
  <c r="AB813" i="6"/>
  <c r="L221" i="6"/>
  <c r="L220" i="6"/>
  <c r="P604" i="6"/>
  <c r="P600" i="6"/>
  <c r="P374" i="6"/>
  <c r="H907" i="5"/>
  <c r="L905" i="5"/>
  <c r="L870" i="5"/>
  <c r="H603" i="5"/>
  <c r="H451" i="5"/>
  <c r="H413" i="5"/>
  <c r="P334" i="5"/>
  <c r="H299" i="5"/>
  <c r="H260" i="5"/>
  <c r="P148" i="5"/>
  <c r="S147" i="5" s="1"/>
  <c r="Q781" i="5"/>
  <c r="R781" i="5" s="1"/>
  <c r="AA775" i="5"/>
  <c r="Q134" i="5"/>
  <c r="R134" i="5" s="1"/>
  <c r="B58" i="5"/>
  <c r="AB52" i="5"/>
  <c r="AB357" i="5"/>
  <c r="B363" i="5"/>
  <c r="O129" i="5"/>
  <c r="M129" i="5"/>
  <c r="N396" i="5"/>
  <c r="L397" i="5"/>
  <c r="R548" i="5"/>
  <c r="T548" i="5"/>
  <c r="AA166" i="5"/>
  <c r="Q172" i="5"/>
  <c r="R172" i="5" s="1"/>
  <c r="O489" i="5"/>
  <c r="P489" i="5" s="1"/>
  <c r="O488" i="5"/>
  <c r="P488" i="5" s="1"/>
  <c r="L480" i="5"/>
  <c r="O490" i="5"/>
  <c r="P490" i="5" s="1"/>
  <c r="O487" i="5"/>
  <c r="P487" i="5" s="1"/>
  <c r="L479" i="5"/>
  <c r="O486" i="5"/>
  <c r="P486" i="5" s="1"/>
  <c r="L477" i="5"/>
  <c r="L478" i="5"/>
  <c r="L481" i="5"/>
  <c r="S776" i="5"/>
  <c r="U776" i="5" s="1"/>
  <c r="Q777" i="5"/>
  <c r="M15" i="5"/>
  <c r="O15" i="5"/>
  <c r="R283" i="5"/>
  <c r="T283" i="5"/>
  <c r="I91" i="5"/>
  <c r="G92" i="5"/>
  <c r="M814" i="5"/>
  <c r="O814" i="5"/>
  <c r="T738" i="5"/>
  <c r="R738" i="5"/>
  <c r="I59" i="5"/>
  <c r="I58" i="5"/>
  <c r="K70" i="5"/>
  <c r="L70" i="5" s="1"/>
  <c r="K69" i="5"/>
  <c r="L69" i="5" s="1"/>
  <c r="I61" i="5"/>
  <c r="K68" i="5"/>
  <c r="L68" i="5" s="1"/>
  <c r="I60" i="5"/>
  <c r="K67" i="5"/>
  <c r="L67" i="5" s="1"/>
  <c r="AC55" i="5"/>
  <c r="O359" i="5"/>
  <c r="M359" i="5"/>
  <c r="V701" i="5"/>
  <c r="X700" i="5"/>
  <c r="P337" i="5"/>
  <c r="K754" i="5"/>
  <c r="L754" i="5" s="1"/>
  <c r="I746" i="5"/>
  <c r="I745" i="5"/>
  <c r="K755" i="5"/>
  <c r="L755" i="5" s="1"/>
  <c r="I744" i="5"/>
  <c r="K753" i="5"/>
  <c r="L753" i="5" s="1"/>
  <c r="I743" i="5"/>
  <c r="K752" i="5"/>
  <c r="L752" i="5" s="1"/>
  <c r="AC740" i="5"/>
  <c r="AB14" i="5"/>
  <c r="B20" i="5"/>
  <c r="AA204" i="5"/>
  <c r="Q210" i="5"/>
  <c r="R210" i="5" s="1"/>
  <c r="W53" i="5"/>
  <c r="Y53" i="5"/>
  <c r="Q819" i="5"/>
  <c r="R819" i="5" s="1"/>
  <c r="AA813" i="5"/>
  <c r="T243" i="5"/>
  <c r="R243" i="5"/>
  <c r="X662" i="5"/>
  <c r="Z662" i="5" s="1"/>
  <c r="V663" i="5"/>
  <c r="T814" i="5"/>
  <c r="R814" i="5"/>
  <c r="L33" i="5"/>
  <c r="L435" i="5"/>
  <c r="N434" i="5"/>
  <c r="P434" i="5" s="1"/>
  <c r="L566" i="5"/>
  <c r="W358" i="5"/>
  <c r="Y358" i="5"/>
  <c r="M91" i="5"/>
  <c r="O91" i="5"/>
  <c r="H510" i="5"/>
  <c r="J510" i="5"/>
  <c r="L832" i="5"/>
  <c r="O282" i="5"/>
  <c r="M282" i="5"/>
  <c r="Y891" i="5"/>
  <c r="W891" i="5"/>
  <c r="N472" i="5"/>
  <c r="L473" i="5"/>
  <c r="S53" i="5"/>
  <c r="U53" i="5" s="1"/>
  <c r="Q54" i="5"/>
  <c r="W473" i="5"/>
  <c r="Y473" i="5"/>
  <c r="Y15" i="5"/>
  <c r="W15" i="5"/>
  <c r="AA128" i="5"/>
  <c r="J205" i="5"/>
  <c r="H205" i="5"/>
  <c r="G525" i="5"/>
  <c r="H525" i="5" s="1"/>
  <c r="G524" i="5"/>
  <c r="H524" i="5" s="1"/>
  <c r="G526" i="5"/>
  <c r="H526" i="5" s="1"/>
  <c r="F517" i="5"/>
  <c r="F515" i="5"/>
  <c r="F516" i="5"/>
  <c r="AC511" i="5"/>
  <c r="Y243" i="5"/>
  <c r="W243" i="5"/>
  <c r="R702" i="5"/>
  <c r="S702" i="5" s="1"/>
  <c r="T702" i="5"/>
  <c r="L490" i="5"/>
  <c r="O793" i="5"/>
  <c r="P793" i="5" s="1"/>
  <c r="O791" i="5"/>
  <c r="P791" i="5" s="1"/>
  <c r="O790" i="5"/>
  <c r="P790" i="5" s="1"/>
  <c r="O794" i="5"/>
  <c r="P794" i="5" s="1"/>
  <c r="O792" i="5"/>
  <c r="P792" i="5" s="1"/>
  <c r="L784" i="5"/>
  <c r="L783" i="5"/>
  <c r="L785" i="5"/>
  <c r="L781" i="5"/>
  <c r="L782" i="5"/>
  <c r="D640" i="5"/>
  <c r="Q895" i="5"/>
  <c r="R895" i="5" s="1"/>
  <c r="AA889" i="5"/>
  <c r="O869" i="5"/>
  <c r="P869" i="5" s="1"/>
  <c r="O867" i="5"/>
  <c r="P867" i="5" s="1"/>
  <c r="O866" i="5"/>
  <c r="P866" i="5" s="1"/>
  <c r="O870" i="5"/>
  <c r="P870" i="5" s="1"/>
  <c r="O868" i="5"/>
  <c r="P868" i="5" s="1"/>
  <c r="L860" i="5"/>
  <c r="L859" i="5"/>
  <c r="L861" i="5"/>
  <c r="L857" i="5"/>
  <c r="L858" i="5"/>
  <c r="H814" i="5"/>
  <c r="J814" i="5"/>
  <c r="Q857" i="5"/>
  <c r="R857" i="5" s="1"/>
  <c r="AA851" i="5"/>
  <c r="M167" i="5"/>
  <c r="O167" i="5"/>
  <c r="I320" i="5"/>
  <c r="G321" i="5"/>
  <c r="W205" i="5"/>
  <c r="Y205" i="5"/>
  <c r="K372" i="5"/>
  <c r="L372" i="5" s="1"/>
  <c r="K374" i="5"/>
  <c r="L374" i="5" s="1"/>
  <c r="K373" i="5"/>
  <c r="L373" i="5" s="1"/>
  <c r="I365" i="5"/>
  <c r="K375" i="5"/>
  <c r="L375" i="5" s="1"/>
  <c r="I364" i="5"/>
  <c r="I363" i="5"/>
  <c r="I366" i="5"/>
  <c r="AC360" i="5"/>
  <c r="H359" i="5"/>
  <c r="J359" i="5"/>
  <c r="T852" i="5"/>
  <c r="R852" i="5"/>
  <c r="G221" i="5"/>
  <c r="H221" i="5" s="1"/>
  <c r="F212" i="5"/>
  <c r="F210" i="5"/>
  <c r="G220" i="5"/>
  <c r="H220" i="5" s="1"/>
  <c r="F211" i="5"/>
  <c r="G219" i="5"/>
  <c r="H219" i="5" s="1"/>
  <c r="AC206" i="5"/>
  <c r="L338" i="5"/>
  <c r="T434" i="5"/>
  <c r="R434" i="5"/>
  <c r="L906" i="5"/>
  <c r="Y167" i="5"/>
  <c r="W167" i="5"/>
  <c r="Q92" i="5"/>
  <c r="S91" i="5"/>
  <c r="U91" i="5" s="1"/>
  <c r="O205" i="5"/>
  <c r="M205" i="5"/>
  <c r="H586" i="5"/>
  <c r="J586" i="5"/>
  <c r="Q515" i="5"/>
  <c r="R515" i="5" s="1"/>
  <c r="AA509" i="5"/>
  <c r="T662" i="5"/>
  <c r="R662" i="5"/>
  <c r="N890" i="5"/>
  <c r="P890" i="5" s="1"/>
  <c r="L891" i="5"/>
  <c r="H131" i="5"/>
  <c r="I131" i="5" s="1"/>
  <c r="J131" i="5"/>
  <c r="H70" i="5"/>
  <c r="I15" i="5"/>
  <c r="K15" i="5" s="1"/>
  <c r="G16" i="5"/>
  <c r="T205" i="5"/>
  <c r="R205" i="5"/>
  <c r="B477" i="5"/>
  <c r="AB471" i="5"/>
  <c r="L778" i="5"/>
  <c r="N777" i="5"/>
  <c r="W776" i="5"/>
  <c r="Y776" i="5"/>
  <c r="P472" i="5"/>
  <c r="M243" i="5"/>
  <c r="O243" i="5"/>
  <c r="O548" i="5"/>
  <c r="M548" i="5"/>
  <c r="B401" i="5"/>
  <c r="AB395" i="5"/>
  <c r="T320" i="5"/>
  <c r="R320" i="5"/>
  <c r="AA90" i="5"/>
  <c r="P335" i="5"/>
  <c r="H641" i="5"/>
  <c r="Q58" i="5"/>
  <c r="R58" i="5" s="1"/>
  <c r="AA737" i="5"/>
  <c r="W129" i="5"/>
  <c r="Y129" i="5"/>
  <c r="N700" i="5"/>
  <c r="L701" i="5"/>
  <c r="L100" i="5"/>
  <c r="L97" i="5"/>
  <c r="L96" i="5"/>
  <c r="O109" i="5"/>
  <c r="P109" i="5" s="1"/>
  <c r="O105" i="5"/>
  <c r="P105" i="5" s="1"/>
  <c r="O108" i="5"/>
  <c r="P108" i="5" s="1"/>
  <c r="L98" i="5"/>
  <c r="O107" i="5"/>
  <c r="P107" i="5" s="1"/>
  <c r="L99" i="5"/>
  <c r="O106" i="5"/>
  <c r="P106" i="5" s="1"/>
  <c r="Q248" i="5"/>
  <c r="R248" i="5" s="1"/>
  <c r="AA242" i="5"/>
  <c r="V625" i="5"/>
  <c r="X624" i="5"/>
  <c r="Q363" i="5"/>
  <c r="R363" i="5" s="1"/>
  <c r="I706" i="5"/>
  <c r="I705" i="5"/>
  <c r="K717" i="5"/>
  <c r="L717" i="5" s="1"/>
  <c r="K715" i="5"/>
  <c r="L715" i="5" s="1"/>
  <c r="K714" i="5"/>
  <c r="L714" i="5" s="1"/>
  <c r="K716" i="5"/>
  <c r="L716" i="5" s="1"/>
  <c r="I707" i="5"/>
  <c r="AC702" i="5"/>
  <c r="I708" i="5"/>
  <c r="J282" i="5"/>
  <c r="H282" i="5"/>
  <c r="Q439" i="5"/>
  <c r="R439" i="5" s="1"/>
  <c r="AA433" i="5"/>
  <c r="Q667" i="5"/>
  <c r="R667" i="5" s="1"/>
  <c r="AA661" i="5"/>
  <c r="O852" i="5"/>
  <c r="M852" i="5"/>
  <c r="M320" i="5"/>
  <c r="O320" i="5"/>
  <c r="J548" i="5"/>
  <c r="H548" i="5"/>
  <c r="I624" i="5"/>
  <c r="K624" i="5" s="1"/>
  <c r="G625" i="5"/>
  <c r="AB319" i="5"/>
  <c r="B325" i="5"/>
  <c r="K641" i="5"/>
  <c r="L641" i="5" s="1"/>
  <c r="K639" i="5"/>
  <c r="L639" i="5" s="1"/>
  <c r="K638" i="5"/>
  <c r="L638" i="5" s="1"/>
  <c r="K640" i="5"/>
  <c r="L640" i="5" s="1"/>
  <c r="I632" i="5"/>
  <c r="I631" i="5"/>
  <c r="I629" i="5"/>
  <c r="I630" i="5"/>
  <c r="AC626" i="5"/>
  <c r="L24" i="5"/>
  <c r="L21" i="5"/>
  <c r="L20" i="5"/>
  <c r="O30" i="5"/>
  <c r="P30" i="5" s="1"/>
  <c r="L23" i="5"/>
  <c r="O33" i="5"/>
  <c r="P33" i="5" s="1"/>
  <c r="O29" i="5"/>
  <c r="P29" i="5" s="1"/>
  <c r="L22" i="5"/>
  <c r="O31" i="5"/>
  <c r="P31" i="5" s="1"/>
  <c r="O32" i="5"/>
  <c r="P32" i="5" s="1"/>
  <c r="P396" i="5"/>
  <c r="Q402" i="5" s="1"/>
  <c r="R402" i="5" s="1"/>
  <c r="O586" i="5"/>
  <c r="M586" i="5"/>
  <c r="T358" i="5"/>
  <c r="R358" i="5"/>
  <c r="V549" i="5"/>
  <c r="X548" i="5"/>
  <c r="Z548" i="5" s="1"/>
  <c r="P700" i="5"/>
  <c r="I738" i="5"/>
  <c r="K738" i="5" s="1"/>
  <c r="G739" i="5"/>
  <c r="M738" i="5"/>
  <c r="O738" i="5"/>
  <c r="L109" i="5"/>
  <c r="K413" i="5"/>
  <c r="L413" i="5" s="1"/>
  <c r="K411" i="5"/>
  <c r="L411" i="5" s="1"/>
  <c r="K410" i="5"/>
  <c r="L410" i="5" s="1"/>
  <c r="I403" i="5"/>
  <c r="I402" i="5"/>
  <c r="I401" i="5"/>
  <c r="K412" i="5"/>
  <c r="L412" i="5" s="1"/>
  <c r="AC398" i="5"/>
  <c r="I404" i="5"/>
  <c r="G778" i="5"/>
  <c r="I777" i="5"/>
  <c r="K777" i="5" s="1"/>
  <c r="Y738" i="5"/>
  <c r="W738" i="5"/>
  <c r="Z624" i="5"/>
  <c r="V92" i="5"/>
  <c r="X91" i="5"/>
  <c r="Z91" i="5" s="1"/>
  <c r="R473" i="5"/>
  <c r="T473" i="5"/>
  <c r="J167" i="5"/>
  <c r="H167" i="5"/>
  <c r="H717" i="5"/>
  <c r="Q591" i="5"/>
  <c r="R591" i="5" s="1"/>
  <c r="AA585" i="5"/>
  <c r="W586" i="5"/>
  <c r="Y586" i="5"/>
  <c r="J890" i="5"/>
  <c r="H890" i="5"/>
  <c r="O832" i="5"/>
  <c r="P832" i="5" s="1"/>
  <c r="L823" i="5"/>
  <c r="L820" i="5"/>
  <c r="L819" i="5"/>
  <c r="O831" i="5"/>
  <c r="P831" i="5" s="1"/>
  <c r="O829" i="5"/>
  <c r="P829" i="5" s="1"/>
  <c r="O828" i="5"/>
  <c r="P828" i="5" s="1"/>
  <c r="O830" i="5"/>
  <c r="P830" i="5" s="1"/>
  <c r="L821" i="5"/>
  <c r="L822" i="5"/>
  <c r="R169" i="5"/>
  <c r="S169" i="5" s="1"/>
  <c r="T169" i="5"/>
  <c r="W434" i="5"/>
  <c r="Y434" i="5"/>
  <c r="Q553" i="5"/>
  <c r="R553" i="5" s="1"/>
  <c r="AA547" i="5"/>
  <c r="B705" i="5"/>
  <c r="AB699" i="5"/>
  <c r="M625" i="5"/>
  <c r="O625" i="5"/>
  <c r="K259" i="5"/>
  <c r="L259" i="5" s="1"/>
  <c r="I251" i="5"/>
  <c r="I250" i="5"/>
  <c r="K257" i="5"/>
  <c r="L257" i="5" s="1"/>
  <c r="I249" i="5"/>
  <c r="K260" i="5"/>
  <c r="L260" i="5" s="1"/>
  <c r="I248" i="5"/>
  <c r="K258" i="5"/>
  <c r="L258" i="5" s="1"/>
  <c r="AC245" i="5"/>
  <c r="T510" i="5"/>
  <c r="R510" i="5"/>
  <c r="P567" i="5"/>
  <c r="K451" i="5"/>
  <c r="L451" i="5" s="1"/>
  <c r="K450" i="5"/>
  <c r="L450" i="5" s="1"/>
  <c r="I442" i="5"/>
  <c r="I441" i="5"/>
  <c r="I439" i="5"/>
  <c r="AC436" i="5"/>
  <c r="K449" i="5"/>
  <c r="L449" i="5" s="1"/>
  <c r="I440" i="5"/>
  <c r="K448" i="5"/>
  <c r="L448" i="5" s="1"/>
  <c r="O510" i="5"/>
  <c r="M510" i="5"/>
  <c r="Y320" i="5"/>
  <c r="W320" i="5"/>
  <c r="H434" i="5"/>
  <c r="J434" i="5"/>
  <c r="M662" i="5"/>
  <c r="O662" i="5"/>
  <c r="L794" i="5"/>
  <c r="K678" i="5"/>
  <c r="L678" i="5" s="1"/>
  <c r="I670" i="5"/>
  <c r="I669" i="5"/>
  <c r="K677" i="5"/>
  <c r="L677" i="5" s="1"/>
  <c r="K676" i="5"/>
  <c r="L676" i="5" s="1"/>
  <c r="I667" i="5"/>
  <c r="I668" i="5"/>
  <c r="K679" i="5"/>
  <c r="L679" i="5" s="1"/>
  <c r="AC664" i="5"/>
  <c r="Y814" i="5"/>
  <c r="W814" i="5"/>
  <c r="L899" i="5"/>
  <c r="L896" i="5"/>
  <c r="L895" i="5"/>
  <c r="L897" i="5"/>
  <c r="O905" i="5"/>
  <c r="P905" i="5" s="1"/>
  <c r="O904" i="5"/>
  <c r="P904" i="5" s="1"/>
  <c r="O908" i="5"/>
  <c r="P908" i="5" s="1"/>
  <c r="L898" i="5"/>
  <c r="O907" i="5"/>
  <c r="P907" i="5" s="1"/>
  <c r="O906" i="5"/>
  <c r="P906" i="5" s="1"/>
  <c r="H852" i="5"/>
  <c r="J852" i="5"/>
  <c r="K320" i="5"/>
  <c r="H375" i="5"/>
  <c r="G473" i="5"/>
  <c r="I472" i="5"/>
  <c r="K472" i="5" s="1"/>
  <c r="G701" i="5"/>
  <c r="I700" i="5"/>
  <c r="K700" i="5" s="1"/>
  <c r="P186" i="5"/>
  <c r="S185" i="5" s="1"/>
  <c r="J243" i="5"/>
  <c r="H243" i="5"/>
  <c r="W853" i="5"/>
  <c r="Y853" i="5"/>
  <c r="L904" i="5"/>
  <c r="R398" i="5"/>
  <c r="S398" i="5" s="1"/>
  <c r="T398" i="5"/>
  <c r="K91" i="5"/>
  <c r="R129" i="5"/>
  <c r="T129" i="5"/>
  <c r="W282" i="5"/>
  <c r="Y282" i="5"/>
  <c r="AA281" i="5"/>
  <c r="Q287" i="5"/>
  <c r="R287" i="5" s="1"/>
  <c r="J397" i="5"/>
  <c r="H397" i="5"/>
  <c r="B629" i="5"/>
  <c r="AB623" i="5"/>
  <c r="H662" i="5"/>
  <c r="J662" i="5"/>
  <c r="G54" i="5"/>
  <c r="I53" i="5"/>
  <c r="K53" i="5" s="1"/>
  <c r="X510" i="5"/>
  <c r="Z510" i="5" s="1"/>
  <c r="V511" i="5"/>
  <c r="Y398" i="5"/>
  <c r="Z398" i="5" s="1"/>
  <c r="W398" i="5"/>
  <c r="X398" i="5" s="1"/>
  <c r="T15" i="5"/>
  <c r="R15" i="5"/>
  <c r="P777" i="5"/>
  <c r="I288" i="5"/>
  <c r="I287" i="5"/>
  <c r="K296" i="5"/>
  <c r="L296" i="5" s="1"/>
  <c r="K299" i="5"/>
  <c r="L299" i="5" s="1"/>
  <c r="K298" i="5"/>
  <c r="L298" i="5" s="1"/>
  <c r="I290" i="5"/>
  <c r="K297" i="5"/>
  <c r="L297" i="5" s="1"/>
  <c r="I289" i="5"/>
  <c r="AC284" i="5"/>
  <c r="L54" i="5"/>
  <c r="N53" i="5"/>
  <c r="P53" i="5" s="1"/>
  <c r="T586" i="5"/>
  <c r="R586" i="5"/>
  <c r="Z700" i="5"/>
  <c r="H679" i="5"/>
  <c r="P336" i="5"/>
  <c r="P338" i="5"/>
  <c r="H755" i="5"/>
  <c r="I592" i="5"/>
  <c r="I591" i="5"/>
  <c r="K602" i="5"/>
  <c r="I594" i="5"/>
  <c r="I593" i="5"/>
  <c r="K603" i="5"/>
  <c r="L603" i="5" s="1"/>
  <c r="K600" i="5"/>
  <c r="L600" i="5" s="1"/>
  <c r="K601" i="5"/>
  <c r="AC588" i="5"/>
  <c r="H375" i="12"/>
  <c r="H337" i="12"/>
  <c r="H299" i="12"/>
  <c r="Z129" i="12"/>
  <c r="I896" i="12"/>
  <c r="I895" i="12"/>
  <c r="K907" i="12"/>
  <c r="K905" i="12"/>
  <c r="K904" i="12"/>
  <c r="K906" i="12"/>
  <c r="I898" i="12"/>
  <c r="I897" i="12"/>
  <c r="AC892" i="12"/>
  <c r="B553" i="12"/>
  <c r="AB547" i="12"/>
  <c r="G753" i="12"/>
  <c r="H753" i="12" s="1"/>
  <c r="G752" i="12"/>
  <c r="H752" i="12" s="1"/>
  <c r="F745" i="12"/>
  <c r="F744" i="12"/>
  <c r="G754" i="12"/>
  <c r="H754" i="12" s="1"/>
  <c r="F743" i="12"/>
  <c r="AC739" i="12"/>
  <c r="AA471" i="12"/>
  <c r="K488" i="12"/>
  <c r="I480" i="12"/>
  <c r="I479" i="12"/>
  <c r="K489" i="12"/>
  <c r="I477" i="12"/>
  <c r="K487" i="12"/>
  <c r="K486" i="12"/>
  <c r="I478" i="12"/>
  <c r="AC474" i="12"/>
  <c r="AA319" i="12"/>
  <c r="Q325" i="12"/>
  <c r="R325" i="12" s="1"/>
  <c r="O108" i="12"/>
  <c r="O106" i="12"/>
  <c r="O105" i="12"/>
  <c r="O109" i="12"/>
  <c r="L98" i="12"/>
  <c r="L97" i="12"/>
  <c r="L99" i="12"/>
  <c r="L96" i="12"/>
  <c r="O107" i="12"/>
  <c r="L100" i="12"/>
  <c r="AA623" i="12"/>
  <c r="Q629" i="12"/>
  <c r="R629" i="12" s="1"/>
  <c r="L405" i="12"/>
  <c r="L402" i="12"/>
  <c r="L401" i="12"/>
  <c r="O411" i="12"/>
  <c r="P411" i="12" s="1"/>
  <c r="L404" i="12"/>
  <c r="O414" i="12"/>
  <c r="O410" i="12"/>
  <c r="O413" i="12"/>
  <c r="P413" i="12" s="1"/>
  <c r="L403" i="12"/>
  <c r="O412" i="12"/>
  <c r="W776" i="12"/>
  <c r="Y776" i="12"/>
  <c r="L814" i="12"/>
  <c r="N813" i="12"/>
  <c r="P813" i="12" s="1"/>
  <c r="Z699" i="12"/>
  <c r="Y549" i="12"/>
  <c r="W549" i="12"/>
  <c r="G525" i="12"/>
  <c r="H525" i="12" s="1"/>
  <c r="G524" i="12"/>
  <c r="H524" i="12" s="1"/>
  <c r="F516" i="12"/>
  <c r="F515" i="12"/>
  <c r="F517" i="12"/>
  <c r="G526" i="12"/>
  <c r="H526" i="12" s="1"/>
  <c r="H700" i="12"/>
  <c r="J700" i="12"/>
  <c r="G562" i="12"/>
  <c r="H562" i="12" s="1"/>
  <c r="H565" i="12" s="1"/>
  <c r="G564" i="12"/>
  <c r="H564" i="12" s="1"/>
  <c r="AC549" i="12"/>
  <c r="G563" i="12"/>
  <c r="F554" i="12"/>
  <c r="F555" i="12"/>
  <c r="F553" i="12"/>
  <c r="G549" i="12"/>
  <c r="I548" i="12"/>
  <c r="K548" i="12" s="1"/>
  <c r="G358" i="12"/>
  <c r="I357" i="12"/>
  <c r="K357" i="12" s="1"/>
  <c r="Y472" i="12"/>
  <c r="W472" i="12"/>
  <c r="Q396" i="12"/>
  <c r="S395" i="12"/>
  <c r="K600" i="12"/>
  <c r="AC588" i="12"/>
  <c r="K603" i="12"/>
  <c r="K602" i="12"/>
  <c r="I594" i="12"/>
  <c r="K601" i="12"/>
  <c r="I592" i="12"/>
  <c r="I591" i="12"/>
  <c r="I593" i="12"/>
  <c r="O434" i="12"/>
  <c r="M434" i="12"/>
  <c r="V321" i="12"/>
  <c r="X320" i="12"/>
  <c r="Z320" i="12" s="1"/>
  <c r="H282" i="12"/>
  <c r="J282" i="12"/>
  <c r="M396" i="12"/>
  <c r="O396" i="12"/>
  <c r="O205" i="12"/>
  <c r="M205" i="12"/>
  <c r="O129" i="12"/>
  <c r="M129" i="12"/>
  <c r="G67" i="12"/>
  <c r="H67" i="12" s="1"/>
  <c r="G69" i="12"/>
  <c r="F58" i="12"/>
  <c r="AC54" i="12"/>
  <c r="F60" i="12"/>
  <c r="G68" i="12"/>
  <c r="H68" i="12" s="1"/>
  <c r="F59" i="12"/>
  <c r="M358" i="12"/>
  <c r="O358" i="12"/>
  <c r="Q244" i="12"/>
  <c r="S243" i="12"/>
  <c r="L91" i="12"/>
  <c r="N90" i="12"/>
  <c r="P90" i="12" s="1"/>
  <c r="Q96" i="12" s="1"/>
  <c r="R96" i="12" s="1"/>
  <c r="Y15" i="12"/>
  <c r="W15" i="12"/>
  <c r="K375" i="12"/>
  <c r="L375" i="12" s="1"/>
  <c r="K373" i="12"/>
  <c r="L373" i="12" s="1"/>
  <c r="K372" i="12"/>
  <c r="L372" i="12" s="1"/>
  <c r="I364" i="12"/>
  <c r="AC360" i="12"/>
  <c r="I363" i="12"/>
  <c r="I365" i="12"/>
  <c r="K374" i="12"/>
  <c r="L374" i="12" s="1"/>
  <c r="I366" i="12"/>
  <c r="Y243" i="12"/>
  <c r="W243" i="12"/>
  <c r="G30" i="12"/>
  <c r="H30" i="12" s="1"/>
  <c r="G29" i="12"/>
  <c r="H29" i="12" s="1"/>
  <c r="F21" i="12"/>
  <c r="F20" i="12"/>
  <c r="AC16" i="12"/>
  <c r="G31" i="12"/>
  <c r="F22" i="12"/>
  <c r="G92" i="12"/>
  <c r="I91" i="12"/>
  <c r="K91" i="12" s="1"/>
  <c r="P15" i="12"/>
  <c r="C896" i="12"/>
  <c r="C895" i="12"/>
  <c r="C905" i="12"/>
  <c r="D905" i="12" s="1"/>
  <c r="C904" i="12"/>
  <c r="D904" i="12" s="1"/>
  <c r="D906" i="12" s="1"/>
  <c r="R890" i="12"/>
  <c r="T890" i="12"/>
  <c r="O776" i="12"/>
  <c r="M776" i="12"/>
  <c r="S813" i="12"/>
  <c r="U813" i="12" s="1"/>
  <c r="Q814" i="12"/>
  <c r="O700" i="12"/>
  <c r="M700" i="12"/>
  <c r="V700" i="12"/>
  <c r="X699" i="12"/>
  <c r="G662" i="12"/>
  <c r="I661" i="12"/>
  <c r="K661" i="12" s="1"/>
  <c r="L586" i="12"/>
  <c r="N585" i="12"/>
  <c r="P585" i="12" s="1"/>
  <c r="K641" i="12"/>
  <c r="K639" i="12"/>
  <c r="L639" i="12" s="1"/>
  <c r="K638" i="12"/>
  <c r="L638" i="12" s="1"/>
  <c r="I631" i="12"/>
  <c r="I630" i="12"/>
  <c r="I629" i="12"/>
  <c r="AC626" i="12"/>
  <c r="K640" i="12"/>
  <c r="L640" i="12" s="1"/>
  <c r="I632" i="12"/>
  <c r="R549" i="12"/>
  <c r="T549" i="12"/>
  <c r="AA775" i="12"/>
  <c r="Q781" i="12"/>
  <c r="R781" i="12" s="1"/>
  <c r="S699" i="12"/>
  <c r="Q700" i="12"/>
  <c r="G586" i="12"/>
  <c r="I585" i="12"/>
  <c r="K585" i="12" s="1"/>
  <c r="R472" i="12"/>
  <c r="T472" i="12"/>
  <c r="H413" i="12"/>
  <c r="Q282" i="12"/>
  <c r="S281" i="12"/>
  <c r="U281" i="12" s="1"/>
  <c r="AA281" i="12" s="1"/>
  <c r="X510" i="12"/>
  <c r="V511" i="12"/>
  <c r="H434" i="12"/>
  <c r="J434" i="12"/>
  <c r="U395" i="12"/>
  <c r="Q401" i="12" s="1"/>
  <c r="R401" i="12" s="1"/>
  <c r="G258" i="12"/>
  <c r="H258" i="12" s="1"/>
  <c r="F249" i="12"/>
  <c r="F250" i="12"/>
  <c r="F248" i="12"/>
  <c r="AC244" i="12"/>
  <c r="G257" i="12"/>
  <c r="H257" i="12" s="1"/>
  <c r="G259" i="12"/>
  <c r="H259" i="12" s="1"/>
  <c r="Q586" i="12"/>
  <c r="S585" i="12"/>
  <c r="U585" i="12" s="1"/>
  <c r="O320" i="12"/>
  <c r="M320" i="12"/>
  <c r="K204" i="12"/>
  <c r="D526" i="12"/>
  <c r="X166" i="12"/>
  <c r="Z166" i="12" s="1"/>
  <c r="V167" i="12"/>
  <c r="D69" i="12"/>
  <c r="K297" i="12"/>
  <c r="L297" i="12" s="1"/>
  <c r="I288" i="12"/>
  <c r="I289" i="12"/>
  <c r="I287" i="12"/>
  <c r="K296" i="12"/>
  <c r="L296" i="12" s="1"/>
  <c r="K298" i="12"/>
  <c r="L298" i="12" s="1"/>
  <c r="K299" i="12"/>
  <c r="L299" i="12" s="1"/>
  <c r="I290" i="12"/>
  <c r="W205" i="12"/>
  <c r="Y205" i="12"/>
  <c r="G167" i="12"/>
  <c r="I166" i="12"/>
  <c r="K166" i="12" s="1"/>
  <c r="D145" i="12"/>
  <c r="AA128" i="12"/>
  <c r="Q134" i="12"/>
  <c r="R134" i="12" s="1"/>
  <c r="I52" i="12"/>
  <c r="K52" i="12" s="1"/>
  <c r="G53" i="12"/>
  <c r="Q15" i="12"/>
  <c r="S14" i="12"/>
  <c r="U14" i="12" s="1"/>
  <c r="I242" i="12"/>
  <c r="G243" i="12"/>
  <c r="G130" i="12"/>
  <c r="I129" i="12"/>
  <c r="K129" i="12" s="1"/>
  <c r="R53" i="12"/>
  <c r="T53" i="12"/>
  <c r="G182" i="12"/>
  <c r="H182" i="12" s="1"/>
  <c r="G181" i="12"/>
  <c r="F172" i="12"/>
  <c r="AC168" i="12"/>
  <c r="G183" i="12"/>
  <c r="H183" i="12" s="1"/>
  <c r="F174" i="12"/>
  <c r="F173" i="12"/>
  <c r="Q130" i="12"/>
  <c r="S129" i="12"/>
  <c r="U129" i="12" s="1"/>
  <c r="W130" i="12"/>
  <c r="Y130" i="12"/>
  <c r="V54" i="12"/>
  <c r="X53" i="12"/>
  <c r="Z53" i="12" s="1"/>
  <c r="Q852" i="12"/>
  <c r="S851" i="12"/>
  <c r="U851" i="12" s="1"/>
  <c r="Q738" i="12"/>
  <c r="S737" i="12"/>
  <c r="U737" i="12" s="1"/>
  <c r="M548" i="12"/>
  <c r="O548" i="12"/>
  <c r="C753" i="12"/>
  <c r="D753" i="12" s="1"/>
  <c r="C743" i="12"/>
  <c r="C752" i="12"/>
  <c r="D752" i="12" s="1"/>
  <c r="C744" i="12"/>
  <c r="O624" i="12"/>
  <c r="M624" i="12"/>
  <c r="T434" i="12"/>
  <c r="R434" i="12"/>
  <c r="L852" i="12"/>
  <c r="N851" i="12"/>
  <c r="P851" i="12" s="1"/>
  <c r="L861" i="12"/>
  <c r="L858" i="12"/>
  <c r="L857" i="12"/>
  <c r="O869" i="12"/>
  <c r="O867" i="12"/>
  <c r="O866" i="12"/>
  <c r="P866" i="12" s="1"/>
  <c r="O870" i="12"/>
  <c r="O868" i="12"/>
  <c r="L860" i="12"/>
  <c r="L859" i="12"/>
  <c r="I851" i="12"/>
  <c r="K851" i="12" s="1"/>
  <c r="G852" i="12"/>
  <c r="W890" i="12"/>
  <c r="Y890" i="12"/>
  <c r="U776" i="12"/>
  <c r="V814" i="12"/>
  <c r="X813" i="12"/>
  <c r="Z813" i="12" s="1"/>
  <c r="X737" i="12"/>
  <c r="Z737" i="12" s="1"/>
  <c r="V738" i="12"/>
  <c r="G715" i="12"/>
  <c r="H715" i="12" s="1"/>
  <c r="F706" i="12"/>
  <c r="G716" i="12"/>
  <c r="H716" i="12" s="1"/>
  <c r="G714" i="12"/>
  <c r="H714" i="12" s="1"/>
  <c r="F705" i="12"/>
  <c r="F707" i="12"/>
  <c r="AC701" i="12"/>
  <c r="J624" i="12"/>
  <c r="H624" i="12"/>
  <c r="L472" i="12"/>
  <c r="N471" i="12"/>
  <c r="P471" i="12" s="1"/>
  <c r="Q477" i="12" s="1"/>
  <c r="R477" i="12" s="1"/>
  <c r="J776" i="12"/>
  <c r="H776" i="12"/>
  <c r="U699" i="12"/>
  <c r="Q705" i="12" s="1"/>
  <c r="R705" i="12" s="1"/>
  <c r="X585" i="12"/>
  <c r="V586" i="12"/>
  <c r="U548" i="12"/>
  <c r="L510" i="12"/>
  <c r="N509" i="12"/>
  <c r="P509" i="12" s="1"/>
  <c r="H472" i="12"/>
  <c r="J472" i="12"/>
  <c r="L662" i="12"/>
  <c r="N661" i="12"/>
  <c r="P661" i="12" s="1"/>
  <c r="Z510" i="12"/>
  <c r="D450" i="12"/>
  <c r="V397" i="12"/>
  <c r="X396" i="12"/>
  <c r="T510" i="12"/>
  <c r="R510" i="12"/>
  <c r="J320" i="12"/>
  <c r="H320" i="12"/>
  <c r="M243" i="12"/>
  <c r="O243" i="12"/>
  <c r="G205" i="12"/>
  <c r="I204" i="12"/>
  <c r="S320" i="12"/>
  <c r="U320" i="12" s="1"/>
  <c r="Q321" i="12"/>
  <c r="Q167" i="12"/>
  <c r="S166" i="12"/>
  <c r="U166" i="12" s="1"/>
  <c r="X90" i="12"/>
  <c r="Z90" i="12" s="1"/>
  <c r="V91" i="12"/>
  <c r="O53" i="12"/>
  <c r="M53" i="12"/>
  <c r="K242" i="12"/>
  <c r="H108" i="12"/>
  <c r="X851" i="12"/>
  <c r="Z851" i="12" s="1"/>
  <c r="V852" i="12"/>
  <c r="K793" i="12"/>
  <c r="K791" i="12"/>
  <c r="L791" i="12" s="1"/>
  <c r="K790" i="12"/>
  <c r="L790" i="12" s="1"/>
  <c r="I783" i="12"/>
  <c r="I782" i="12"/>
  <c r="I781" i="12"/>
  <c r="AC778" i="12"/>
  <c r="K792" i="12"/>
  <c r="L792" i="12" s="1"/>
  <c r="I784" i="12"/>
  <c r="Q625" i="12"/>
  <c r="S624" i="12"/>
  <c r="K412" i="12"/>
  <c r="L412" i="12" s="1"/>
  <c r="I404" i="12"/>
  <c r="I403" i="12"/>
  <c r="K410" i="12"/>
  <c r="L410" i="12" s="1"/>
  <c r="I402" i="12"/>
  <c r="K413" i="12"/>
  <c r="L413" i="12" s="1"/>
  <c r="I401" i="12"/>
  <c r="K411" i="12"/>
  <c r="L411" i="12" s="1"/>
  <c r="C677" i="12"/>
  <c r="D677" i="12" s="1"/>
  <c r="C667" i="12"/>
  <c r="C676" i="12"/>
  <c r="D676" i="12" s="1"/>
  <c r="C668" i="12"/>
  <c r="G906" i="12"/>
  <c r="H906" i="12" s="1"/>
  <c r="F897" i="12"/>
  <c r="F896" i="12"/>
  <c r="F895" i="12"/>
  <c r="G905" i="12"/>
  <c r="H905" i="12" s="1"/>
  <c r="G904" i="12"/>
  <c r="H904" i="12" s="1"/>
  <c r="K868" i="12"/>
  <c r="I860" i="12"/>
  <c r="I859" i="12"/>
  <c r="I858" i="12"/>
  <c r="I857" i="12"/>
  <c r="K867" i="12"/>
  <c r="K869" i="12"/>
  <c r="K866" i="12"/>
  <c r="J890" i="12"/>
  <c r="H890" i="12"/>
  <c r="F858" i="12"/>
  <c r="F857" i="12"/>
  <c r="G867" i="12"/>
  <c r="H867" i="12" s="1"/>
  <c r="G866" i="12"/>
  <c r="H866" i="12" s="1"/>
  <c r="G868" i="12"/>
  <c r="H868" i="12" s="1"/>
  <c r="F859" i="12"/>
  <c r="N889" i="12"/>
  <c r="P889" i="12" s="1"/>
  <c r="L890" i="12"/>
  <c r="I813" i="12"/>
  <c r="K813" i="12" s="1"/>
  <c r="G814" i="12"/>
  <c r="Q777" i="12"/>
  <c r="S776" i="12"/>
  <c r="C829" i="12"/>
  <c r="D829" i="12" s="1"/>
  <c r="C828" i="12"/>
  <c r="D828" i="12" s="1"/>
  <c r="C819" i="12"/>
  <c r="C820" i="12"/>
  <c r="G738" i="12"/>
  <c r="I737" i="12"/>
  <c r="K737" i="12" s="1"/>
  <c r="AC814" i="12"/>
  <c r="AC662" i="12"/>
  <c r="X661" i="12"/>
  <c r="Z661" i="12" s="1"/>
  <c r="V662" i="12"/>
  <c r="V434" i="12"/>
  <c r="X433" i="12"/>
  <c r="Z433" i="12" s="1"/>
  <c r="AA433" i="12" s="1"/>
  <c r="U624" i="12"/>
  <c r="AC511" i="12"/>
  <c r="L738" i="12"/>
  <c r="N737" i="12"/>
  <c r="P737" i="12" s="1"/>
  <c r="W624" i="12"/>
  <c r="Y624" i="12"/>
  <c r="Z585" i="12"/>
  <c r="G510" i="12"/>
  <c r="I509" i="12"/>
  <c r="K509" i="12" s="1"/>
  <c r="F478" i="12"/>
  <c r="F477" i="12"/>
  <c r="G486" i="12"/>
  <c r="H486" i="12" s="1"/>
  <c r="G488" i="12"/>
  <c r="H488" i="12" s="1"/>
  <c r="F479" i="12"/>
  <c r="G487" i="12"/>
  <c r="H487" i="12" s="1"/>
  <c r="Q662" i="12"/>
  <c r="S661" i="12"/>
  <c r="U661" i="12" s="1"/>
  <c r="G450" i="12"/>
  <c r="H450" i="12" s="1"/>
  <c r="F441" i="12"/>
  <c r="F440" i="12"/>
  <c r="G448" i="12"/>
  <c r="H448" i="12" s="1"/>
  <c r="F439" i="12"/>
  <c r="AC435" i="12"/>
  <c r="G449" i="12"/>
  <c r="Z396" i="12"/>
  <c r="D602" i="12"/>
  <c r="G601" i="12"/>
  <c r="G600" i="12"/>
  <c r="H600" i="12" s="1"/>
  <c r="F593" i="12"/>
  <c r="F592" i="12"/>
  <c r="F591" i="12"/>
  <c r="G602" i="12"/>
  <c r="I396" i="12"/>
  <c r="K396" i="12" s="1"/>
  <c r="G397" i="12"/>
  <c r="K337" i="12"/>
  <c r="L337" i="12" s="1"/>
  <c r="K335" i="12"/>
  <c r="L335" i="12" s="1"/>
  <c r="K334" i="12"/>
  <c r="L334" i="12" s="1"/>
  <c r="K336" i="12"/>
  <c r="L336" i="12" s="1"/>
  <c r="I328" i="12"/>
  <c r="I327" i="12"/>
  <c r="I326" i="12"/>
  <c r="AC322" i="12"/>
  <c r="I325" i="12"/>
  <c r="L283" i="12"/>
  <c r="N282" i="12"/>
  <c r="P282" i="12" s="1"/>
  <c r="D374" i="12"/>
  <c r="X282" i="12"/>
  <c r="Z282" i="12" s="1"/>
  <c r="V283" i="12"/>
  <c r="K146" i="12"/>
  <c r="K144" i="12"/>
  <c r="K143" i="12"/>
  <c r="L143" i="12" s="1"/>
  <c r="I136" i="12"/>
  <c r="I135" i="12"/>
  <c r="I134" i="12"/>
  <c r="AC131" i="12"/>
  <c r="K145" i="12"/>
  <c r="L145" i="12" s="1"/>
  <c r="I137" i="12"/>
  <c r="Y358" i="12"/>
  <c r="W358" i="12"/>
  <c r="O299" i="12"/>
  <c r="P299" i="12" s="1"/>
  <c r="O297" i="12"/>
  <c r="O296" i="12"/>
  <c r="P296" i="12" s="1"/>
  <c r="L287" i="12"/>
  <c r="O298" i="12"/>
  <c r="L291" i="12"/>
  <c r="L290" i="12"/>
  <c r="L288" i="12"/>
  <c r="L289" i="12"/>
  <c r="O300" i="12"/>
  <c r="P300" i="12" s="1"/>
  <c r="G220" i="12"/>
  <c r="H220" i="12" s="1"/>
  <c r="G219" i="12"/>
  <c r="H219" i="12" s="1"/>
  <c r="G221" i="12"/>
  <c r="H221" i="12" s="1"/>
  <c r="F212" i="12"/>
  <c r="F211" i="12"/>
  <c r="F210" i="12"/>
  <c r="AC206" i="12"/>
  <c r="L167" i="12"/>
  <c r="N166" i="12"/>
  <c r="P166" i="12" s="1"/>
  <c r="AA90" i="12"/>
  <c r="U243" i="12"/>
  <c r="Q205" i="12"/>
  <c r="S204" i="12"/>
  <c r="U204" i="12" s="1"/>
  <c r="Q91" i="12"/>
  <c r="S90" i="12"/>
  <c r="U90" i="12" s="1"/>
  <c r="D31" i="12"/>
  <c r="Q20" i="12"/>
  <c r="R20" i="12" s="1"/>
  <c r="AA14" i="12"/>
  <c r="T358" i="12"/>
  <c r="R358" i="12"/>
  <c r="D221" i="12"/>
  <c r="K105" i="12"/>
  <c r="L105" i="12" s="1"/>
  <c r="I96" i="12"/>
  <c r="K108" i="12"/>
  <c r="L108" i="12" s="1"/>
  <c r="K107" i="12"/>
  <c r="L107" i="12" s="1"/>
  <c r="I99" i="12"/>
  <c r="K106" i="12"/>
  <c r="I97" i="12"/>
  <c r="I98" i="12"/>
  <c r="L16" i="12"/>
  <c r="N15" i="12"/>
  <c r="H15" i="12"/>
  <c r="J15" i="12"/>
  <c r="C896" i="13"/>
  <c r="C895" i="13"/>
  <c r="C905" i="13"/>
  <c r="D905" i="13" s="1"/>
  <c r="C904" i="13"/>
  <c r="D904" i="13" s="1"/>
  <c r="D906" i="13" s="1"/>
  <c r="Z889" i="13"/>
  <c r="W890" i="13"/>
  <c r="Y890" i="13"/>
  <c r="R890" i="13"/>
  <c r="T890" i="13"/>
  <c r="N889" i="13"/>
  <c r="P889" i="13" s="1"/>
  <c r="AA889" i="13" s="1"/>
  <c r="L890" i="13"/>
  <c r="G891" i="13"/>
  <c r="I890" i="13"/>
  <c r="K890" i="13" s="1"/>
  <c r="AC890" i="13"/>
  <c r="F858" i="13"/>
  <c r="F857" i="13"/>
  <c r="AC853" i="13"/>
  <c r="G868" i="13"/>
  <c r="H868" i="13" s="1"/>
  <c r="F859" i="13"/>
  <c r="G867" i="13"/>
  <c r="H867" i="13" s="1"/>
  <c r="G866" i="13"/>
  <c r="H866" i="13" s="1"/>
  <c r="G852" i="13"/>
  <c r="I851" i="13"/>
  <c r="K851" i="13" s="1"/>
  <c r="O852" i="13"/>
  <c r="M852" i="13"/>
  <c r="R852" i="13"/>
  <c r="T852" i="13"/>
  <c r="U851" i="13"/>
  <c r="V853" i="13"/>
  <c r="X852" i="13"/>
  <c r="Z852" i="13" s="1"/>
  <c r="F821" i="13"/>
  <c r="F820" i="13"/>
  <c r="F819" i="13"/>
  <c r="AC815" i="13"/>
  <c r="G830" i="13"/>
  <c r="H830" i="13" s="1"/>
  <c r="G829" i="13"/>
  <c r="H829" i="13" s="1"/>
  <c r="G828" i="13"/>
  <c r="H828" i="13" s="1"/>
  <c r="I813" i="13"/>
  <c r="K813" i="13" s="1"/>
  <c r="G814" i="13"/>
  <c r="V815" i="13"/>
  <c r="X814" i="13"/>
  <c r="M814" i="13"/>
  <c r="O814" i="13"/>
  <c r="R814" i="13"/>
  <c r="T814" i="13"/>
  <c r="Z814" i="13"/>
  <c r="F782" i="13"/>
  <c r="F781" i="13"/>
  <c r="G791" i="13"/>
  <c r="H791" i="13" s="1"/>
  <c r="G790" i="13"/>
  <c r="H790" i="13" s="1"/>
  <c r="G792" i="13"/>
  <c r="H792" i="13" s="1"/>
  <c r="F783" i="13"/>
  <c r="AC777" i="13"/>
  <c r="N775" i="13"/>
  <c r="P775" i="13" s="1"/>
  <c r="L776" i="13"/>
  <c r="V776" i="13"/>
  <c r="X775" i="13"/>
  <c r="Z775" i="13" s="1"/>
  <c r="R776" i="13"/>
  <c r="T776" i="13"/>
  <c r="I775" i="13"/>
  <c r="K775" i="13" s="1"/>
  <c r="G776" i="13"/>
  <c r="C791" i="13"/>
  <c r="D791" i="13" s="1"/>
  <c r="C790" i="13"/>
  <c r="D790" i="13" s="1"/>
  <c r="C782" i="13"/>
  <c r="C781" i="13"/>
  <c r="F745" i="13"/>
  <c r="F744" i="13"/>
  <c r="F743" i="13"/>
  <c r="AC739" i="13"/>
  <c r="G754" i="13"/>
  <c r="H754" i="13" s="1"/>
  <c r="G753" i="13"/>
  <c r="H753" i="13" s="1"/>
  <c r="G752" i="13"/>
  <c r="H752" i="13" s="1"/>
  <c r="I737" i="13"/>
  <c r="K737" i="13" s="1"/>
  <c r="G738" i="13"/>
  <c r="M738" i="13"/>
  <c r="O738" i="13"/>
  <c r="R738" i="13"/>
  <c r="T738" i="13"/>
  <c r="V739" i="13"/>
  <c r="X738" i="13"/>
  <c r="Z738" i="13" s="1"/>
  <c r="H700" i="13"/>
  <c r="G701" i="13" s="1"/>
  <c r="L700" i="13"/>
  <c r="N699" i="13"/>
  <c r="P699" i="13" s="1"/>
  <c r="C706" i="13"/>
  <c r="C705" i="13"/>
  <c r="C715" i="13"/>
  <c r="D715" i="13" s="1"/>
  <c r="C714" i="13"/>
  <c r="D714" i="13" s="1"/>
  <c r="D716" i="13" s="1"/>
  <c r="AC700" i="13"/>
  <c r="Z699" i="13"/>
  <c r="W700" i="13"/>
  <c r="Y700" i="13"/>
  <c r="I700" i="13"/>
  <c r="K700" i="13" s="1"/>
  <c r="R700" i="13"/>
  <c r="T700" i="13"/>
  <c r="G678" i="13"/>
  <c r="H678" i="13" s="1"/>
  <c r="F669" i="13"/>
  <c r="G677" i="13"/>
  <c r="H677" i="13" s="1"/>
  <c r="G676" i="13"/>
  <c r="H676" i="13" s="1"/>
  <c r="F668" i="13"/>
  <c r="F667" i="13"/>
  <c r="AC663" i="13"/>
  <c r="G663" i="13"/>
  <c r="I662" i="13"/>
  <c r="K662" i="13" s="1"/>
  <c r="W662" i="13"/>
  <c r="Y662" i="13"/>
  <c r="T662" i="13"/>
  <c r="R662" i="13"/>
  <c r="L662" i="13"/>
  <c r="N661" i="13"/>
  <c r="P661" i="13" s="1"/>
  <c r="AA661" i="13" s="1"/>
  <c r="Q625" i="13"/>
  <c r="T625" i="13" s="1"/>
  <c r="U624" i="13"/>
  <c r="V625" i="13"/>
  <c r="X624" i="13"/>
  <c r="Z624" i="13" s="1"/>
  <c r="G626" i="13"/>
  <c r="I625" i="13"/>
  <c r="K625" i="13" s="1"/>
  <c r="G640" i="13"/>
  <c r="F631" i="13"/>
  <c r="F629" i="13"/>
  <c r="F630" i="13"/>
  <c r="G639" i="13"/>
  <c r="H639" i="13" s="1"/>
  <c r="G638" i="13"/>
  <c r="H638" i="13" s="1"/>
  <c r="H641" i="13" s="1"/>
  <c r="AC625" i="13"/>
  <c r="R625" i="13"/>
  <c r="AA623" i="13"/>
  <c r="Q629" i="13"/>
  <c r="R629" i="13" s="1"/>
  <c r="D640" i="13"/>
  <c r="N623" i="13"/>
  <c r="P623" i="13" s="1"/>
  <c r="L624" i="13"/>
  <c r="V587" i="13"/>
  <c r="X586" i="13"/>
  <c r="R586" i="13"/>
  <c r="T586" i="13"/>
  <c r="Z586" i="13"/>
  <c r="N585" i="13"/>
  <c r="P585" i="13" s="1"/>
  <c r="L586" i="13"/>
  <c r="J586" i="13"/>
  <c r="H586" i="13"/>
  <c r="G602" i="13"/>
  <c r="H602" i="13" s="1"/>
  <c r="F593" i="13"/>
  <c r="F592" i="13"/>
  <c r="F591" i="13"/>
  <c r="AC587" i="13"/>
  <c r="G601" i="13"/>
  <c r="H601" i="13" s="1"/>
  <c r="G600" i="13"/>
  <c r="H600" i="13" s="1"/>
  <c r="H603" i="13" s="1"/>
  <c r="Y549" i="13"/>
  <c r="Z549" i="13" s="1"/>
  <c r="Z550" i="13"/>
  <c r="G562" i="13"/>
  <c r="H562" i="13" s="1"/>
  <c r="F555" i="13"/>
  <c r="AC549" i="13"/>
  <c r="I553" i="13" s="1"/>
  <c r="G564" i="13"/>
  <c r="R548" i="13"/>
  <c r="T548" i="13"/>
  <c r="G550" i="13"/>
  <c r="I549" i="13"/>
  <c r="K549" i="13" s="1"/>
  <c r="N547" i="13"/>
  <c r="P547" i="13" s="1"/>
  <c r="AA547" i="13" s="1"/>
  <c r="L548" i="13"/>
  <c r="I554" i="13"/>
  <c r="K563" i="13"/>
  <c r="L563" i="13" s="1"/>
  <c r="R510" i="13"/>
  <c r="T510" i="13"/>
  <c r="F516" i="13"/>
  <c r="F515" i="13"/>
  <c r="AC511" i="13"/>
  <c r="G526" i="13"/>
  <c r="G525" i="13"/>
  <c r="H525" i="13" s="1"/>
  <c r="G524" i="13"/>
  <c r="H524" i="13" s="1"/>
  <c r="H527" i="13" s="1"/>
  <c r="F517" i="13"/>
  <c r="G510" i="13"/>
  <c r="I509" i="13"/>
  <c r="K509" i="13" s="1"/>
  <c r="V511" i="13"/>
  <c r="X510" i="13"/>
  <c r="Z510" i="13" s="1"/>
  <c r="M510" i="13"/>
  <c r="O510" i="13"/>
  <c r="D488" i="13"/>
  <c r="S471" i="13"/>
  <c r="U471" i="13" s="1"/>
  <c r="Q472" i="13"/>
  <c r="G472" i="13"/>
  <c r="I471" i="13"/>
  <c r="K471" i="13" s="1"/>
  <c r="W472" i="13"/>
  <c r="Y472" i="13"/>
  <c r="F478" i="13"/>
  <c r="F477" i="13"/>
  <c r="G487" i="13"/>
  <c r="H487" i="13" s="1"/>
  <c r="G486" i="13"/>
  <c r="H486" i="13" s="1"/>
  <c r="G488" i="13"/>
  <c r="F479" i="13"/>
  <c r="AC473" i="13"/>
  <c r="O472" i="13"/>
  <c r="M472" i="13"/>
  <c r="L434" i="13"/>
  <c r="N433" i="13"/>
  <c r="P433" i="13" s="1"/>
  <c r="AA433" i="13" s="1"/>
  <c r="G435" i="13"/>
  <c r="I434" i="13"/>
  <c r="K434" i="13" s="1"/>
  <c r="T434" i="13"/>
  <c r="R434" i="13"/>
  <c r="G450" i="13"/>
  <c r="F441" i="13"/>
  <c r="F440" i="13"/>
  <c r="F439" i="13"/>
  <c r="AC435" i="13"/>
  <c r="G449" i="13"/>
  <c r="H449" i="13" s="1"/>
  <c r="G448" i="13"/>
  <c r="H448" i="13" s="1"/>
  <c r="W434" i="13"/>
  <c r="Y434" i="13"/>
  <c r="D450" i="13"/>
  <c r="U396" i="13"/>
  <c r="V397" i="13"/>
  <c r="X396" i="13"/>
  <c r="Z396" i="13" s="1"/>
  <c r="R397" i="13"/>
  <c r="T397" i="13"/>
  <c r="G398" i="13"/>
  <c r="I397" i="13"/>
  <c r="K397" i="13" s="1"/>
  <c r="G412" i="13"/>
  <c r="F403" i="13"/>
  <c r="F401" i="13"/>
  <c r="F402" i="13"/>
  <c r="G411" i="13"/>
  <c r="H411" i="13" s="1"/>
  <c r="G410" i="13"/>
  <c r="H410" i="13" s="1"/>
  <c r="AC397" i="13"/>
  <c r="AA395" i="13"/>
  <c r="Q401" i="13"/>
  <c r="R401" i="13" s="1"/>
  <c r="D412" i="13"/>
  <c r="N395" i="13"/>
  <c r="P395" i="13" s="1"/>
  <c r="L396" i="13"/>
  <c r="Q358" i="13"/>
  <c r="S357" i="13"/>
  <c r="U357" i="13" s="1"/>
  <c r="L367" i="13"/>
  <c r="L364" i="13"/>
  <c r="L363" i="13"/>
  <c r="O375" i="13"/>
  <c r="O373" i="13"/>
  <c r="O372" i="13"/>
  <c r="O376" i="13"/>
  <c r="O374" i="13"/>
  <c r="L365" i="13"/>
  <c r="L366" i="13"/>
  <c r="H358" i="13"/>
  <c r="J358" i="13"/>
  <c r="K374" i="13"/>
  <c r="L374" i="13" s="1"/>
  <c r="I366" i="13"/>
  <c r="I365" i="13"/>
  <c r="I364" i="13"/>
  <c r="I363" i="13"/>
  <c r="K375" i="13"/>
  <c r="L375" i="13" s="1"/>
  <c r="K373" i="13"/>
  <c r="L373" i="13" s="1"/>
  <c r="K372" i="13"/>
  <c r="AA357" i="13"/>
  <c r="L358" i="13"/>
  <c r="N357" i="13"/>
  <c r="P357" i="13" s="1"/>
  <c r="X357" i="13"/>
  <c r="Z357" i="13" s="1"/>
  <c r="Q363" i="13" s="1"/>
  <c r="R363" i="13" s="1"/>
  <c r="V358" i="13"/>
  <c r="H375" i="13"/>
  <c r="L320" i="13"/>
  <c r="N319" i="13"/>
  <c r="P319" i="13" s="1"/>
  <c r="AA319" i="13" s="1"/>
  <c r="G321" i="13"/>
  <c r="I320" i="13"/>
  <c r="K320" i="13" s="1"/>
  <c r="X320" i="13"/>
  <c r="Z320" i="13" s="1"/>
  <c r="V321" i="13"/>
  <c r="G336" i="13"/>
  <c r="H336" i="13" s="1"/>
  <c r="F327" i="13"/>
  <c r="F326" i="13"/>
  <c r="F325" i="13"/>
  <c r="G335" i="13"/>
  <c r="G334" i="13"/>
  <c r="C326" i="13"/>
  <c r="C325" i="13"/>
  <c r="C335" i="13"/>
  <c r="D335" i="13" s="1"/>
  <c r="C334" i="13"/>
  <c r="D334" i="13" s="1"/>
  <c r="D336" i="13" s="1"/>
  <c r="AC321" i="13"/>
  <c r="Q325" i="13"/>
  <c r="R325" i="13" s="1"/>
  <c r="R320" i="13"/>
  <c r="T320" i="13"/>
  <c r="O299" i="13"/>
  <c r="O297" i="13"/>
  <c r="P297" i="13" s="1"/>
  <c r="O296" i="13"/>
  <c r="O300" i="13"/>
  <c r="O298" i="13"/>
  <c r="P298" i="13" s="1"/>
  <c r="L290" i="13"/>
  <c r="L289" i="13"/>
  <c r="L291" i="13"/>
  <c r="L287" i="13"/>
  <c r="L288" i="13"/>
  <c r="L282" i="13"/>
  <c r="N281" i="13"/>
  <c r="P281" i="13" s="1"/>
  <c r="G282" i="13"/>
  <c r="I281" i="13"/>
  <c r="K281" i="13" s="1"/>
  <c r="G297" i="13"/>
  <c r="G296" i="13"/>
  <c r="G298" i="13"/>
  <c r="F289" i="13"/>
  <c r="F287" i="13"/>
  <c r="F288" i="13"/>
  <c r="S281" i="13"/>
  <c r="U281" i="13" s="1"/>
  <c r="Q282" i="13"/>
  <c r="W282" i="13"/>
  <c r="Y282" i="13"/>
  <c r="I288" i="13"/>
  <c r="I287" i="13"/>
  <c r="K298" i="13"/>
  <c r="I290" i="13"/>
  <c r="I289" i="13"/>
  <c r="K299" i="13"/>
  <c r="K297" i="13"/>
  <c r="K296" i="13"/>
  <c r="W14" i="13"/>
  <c r="V15" i="13" s="1"/>
  <c r="C59" i="13"/>
  <c r="W52" i="13"/>
  <c r="AC167" i="13"/>
  <c r="F173" i="13" s="1"/>
  <c r="M52" i="13"/>
  <c r="N52" i="13" s="1"/>
  <c r="Y52" i="13"/>
  <c r="W204" i="13"/>
  <c r="V205" i="13" s="1"/>
  <c r="W205" i="13" s="1"/>
  <c r="V206" i="13" s="1"/>
  <c r="S242" i="13"/>
  <c r="U242" i="13" s="1"/>
  <c r="T243" i="13"/>
  <c r="J205" i="13"/>
  <c r="K205" i="13" s="1"/>
  <c r="H205" i="13"/>
  <c r="G206" i="13" s="1"/>
  <c r="J206" i="13" s="1"/>
  <c r="V53" i="13"/>
  <c r="X52" i="13"/>
  <c r="P128" i="13"/>
  <c r="P138" i="13"/>
  <c r="R166" i="13"/>
  <c r="Y204" i="13"/>
  <c r="U243" i="13"/>
  <c r="Y14" i="13"/>
  <c r="R52" i="13"/>
  <c r="C58" i="13"/>
  <c r="P100" i="13"/>
  <c r="M166" i="13"/>
  <c r="L167" i="13" s="1"/>
  <c r="R204" i="13"/>
  <c r="AC204" i="13"/>
  <c r="C219" i="13" s="1"/>
  <c r="D219" i="13" s="1"/>
  <c r="X205" i="13"/>
  <c r="P214" i="13"/>
  <c r="S243" i="13"/>
  <c r="G243" i="13"/>
  <c r="J243" i="13" s="1"/>
  <c r="Y243" i="13"/>
  <c r="W243" i="13"/>
  <c r="H14" i="13"/>
  <c r="G15" i="13" s="1"/>
  <c r="H90" i="13"/>
  <c r="I90" i="13" s="1"/>
  <c r="K90" i="13" s="1"/>
  <c r="R128" i="13"/>
  <c r="S128" i="13" s="1"/>
  <c r="AC128" i="13"/>
  <c r="C144" i="13" s="1"/>
  <c r="D144" i="13" s="1"/>
  <c r="Q248" i="13"/>
  <c r="R248" i="13" s="1"/>
  <c r="R14" i="13"/>
  <c r="S14" i="13" s="1"/>
  <c r="U14" i="13" s="1"/>
  <c r="P24" i="13"/>
  <c r="P62" i="13"/>
  <c r="M128" i="13"/>
  <c r="N128" i="13" s="1"/>
  <c r="P176" i="13"/>
  <c r="Y205" i="13"/>
  <c r="R244" i="13"/>
  <c r="T244" i="13"/>
  <c r="AA242" i="13"/>
  <c r="M243" i="13"/>
  <c r="O243" i="13"/>
  <c r="F249" i="13"/>
  <c r="F248" i="13"/>
  <c r="AC244" i="13"/>
  <c r="G258" i="13"/>
  <c r="H258" i="13" s="1"/>
  <c r="G257" i="13"/>
  <c r="H257" i="13" s="1"/>
  <c r="G259" i="13"/>
  <c r="H259" i="13" s="1"/>
  <c r="F250" i="13"/>
  <c r="W206" i="13"/>
  <c r="M204" i="13"/>
  <c r="I205" i="13"/>
  <c r="H206" i="13"/>
  <c r="I204" i="13"/>
  <c r="C210" i="13"/>
  <c r="C220" i="13"/>
  <c r="D220" i="13" s="1"/>
  <c r="Y206" i="13"/>
  <c r="K204" i="13"/>
  <c r="X204" i="13"/>
  <c r="AC205" i="13"/>
  <c r="M167" i="13"/>
  <c r="O167" i="13"/>
  <c r="Q167" i="13"/>
  <c r="S166" i="13"/>
  <c r="U166" i="13" s="1"/>
  <c r="F172" i="13"/>
  <c r="G183" i="13"/>
  <c r="H183" i="13" s="1"/>
  <c r="F174" i="13"/>
  <c r="G181" i="13"/>
  <c r="H181" i="13" s="1"/>
  <c r="C173" i="13"/>
  <c r="C172" i="13"/>
  <c r="C182" i="13"/>
  <c r="D182" i="13" s="1"/>
  <c r="C181" i="13"/>
  <c r="D181" i="13" s="1"/>
  <c r="N166" i="13"/>
  <c r="P166" i="13" s="1"/>
  <c r="H166" i="13"/>
  <c r="Y166" i="13"/>
  <c r="W166" i="13"/>
  <c r="AC168" i="13"/>
  <c r="AC169" i="13" s="1"/>
  <c r="Q129" i="13"/>
  <c r="Y129" i="13"/>
  <c r="W129" i="13"/>
  <c r="C134" i="13"/>
  <c r="C135" i="13"/>
  <c r="H128" i="13"/>
  <c r="T128" i="13"/>
  <c r="X128" i="13"/>
  <c r="Z128" i="13" s="1"/>
  <c r="AC129" i="13"/>
  <c r="C143" i="13"/>
  <c r="D143" i="13" s="1"/>
  <c r="D145" i="13" s="1"/>
  <c r="AC91" i="13"/>
  <c r="AC92" i="13" s="1"/>
  <c r="C97" i="13"/>
  <c r="C96" i="13"/>
  <c r="C106" i="13"/>
  <c r="D106" i="13" s="1"/>
  <c r="C105" i="13"/>
  <c r="D105" i="13" s="1"/>
  <c r="G91" i="13"/>
  <c r="R90" i="13"/>
  <c r="W90" i="13"/>
  <c r="M90" i="13"/>
  <c r="O52" i="13"/>
  <c r="P52" i="13" s="1"/>
  <c r="H52" i="13"/>
  <c r="W53" i="13"/>
  <c r="Y53" i="13"/>
  <c r="AC53" i="13"/>
  <c r="C67" i="13"/>
  <c r="D67" i="13" s="1"/>
  <c r="D69" i="13" s="1"/>
  <c r="H15" i="13"/>
  <c r="J15" i="13"/>
  <c r="AC15" i="13"/>
  <c r="C29" i="13"/>
  <c r="D29" i="13" s="1"/>
  <c r="C30" i="13"/>
  <c r="D30" i="13" s="1"/>
  <c r="M14" i="13"/>
  <c r="C20" i="13"/>
  <c r="P22" i="11"/>
  <c r="L13" i="11"/>
  <c r="N12" i="11"/>
  <c r="F18" i="11"/>
  <c r="F19" i="11"/>
  <c r="F20" i="11"/>
  <c r="C18" i="11"/>
  <c r="C19" i="11"/>
  <c r="AC14" i="11"/>
  <c r="R12" i="11"/>
  <c r="O12" i="11"/>
  <c r="W12" i="11"/>
  <c r="H12" i="11"/>
  <c r="P12" i="11" l="1"/>
  <c r="K15" i="18"/>
  <c r="T15" i="18"/>
  <c r="R15" i="18"/>
  <c r="S15" i="18" s="1"/>
  <c r="W15" i="18"/>
  <c r="X15" i="18" s="1"/>
  <c r="Y15" i="18"/>
  <c r="E19" i="18"/>
  <c r="E20" i="18"/>
  <c r="N14" i="18"/>
  <c r="P14" i="18" s="1"/>
  <c r="AA14" i="18" s="1"/>
  <c r="L15" i="18"/>
  <c r="E19" i="17"/>
  <c r="E20" i="17"/>
  <c r="P14" i="17"/>
  <c r="AA14" i="17" s="1"/>
  <c r="N14" i="17"/>
  <c r="L15" i="17"/>
  <c r="Z15" i="16"/>
  <c r="N14" i="16"/>
  <c r="P14" i="16" s="1"/>
  <c r="L15" i="16"/>
  <c r="AB13" i="16"/>
  <c r="R19" i="16"/>
  <c r="E18" i="16"/>
  <c r="I14" i="16"/>
  <c r="G15" i="16"/>
  <c r="R15" i="16"/>
  <c r="S15" i="16" s="1"/>
  <c r="T15" i="16"/>
  <c r="U15" i="16" s="1"/>
  <c r="K14" i="16"/>
  <c r="L908" i="6"/>
  <c r="L718" i="6"/>
  <c r="K550" i="6"/>
  <c r="L528" i="6"/>
  <c r="AA814" i="6"/>
  <c r="Q820" i="6"/>
  <c r="R820" i="6" s="1"/>
  <c r="Q592" i="6"/>
  <c r="R592" i="6" s="1"/>
  <c r="AA586" i="6"/>
  <c r="Q706" i="6"/>
  <c r="R706" i="6" s="1"/>
  <c r="AA700" i="6"/>
  <c r="P415" i="6"/>
  <c r="S414" i="6" s="1"/>
  <c r="R16" i="6"/>
  <c r="T16" i="6"/>
  <c r="V854" i="6"/>
  <c r="X853" i="6"/>
  <c r="J815" i="6"/>
  <c r="H815" i="6"/>
  <c r="W777" i="6"/>
  <c r="Y777" i="6"/>
  <c r="L360" i="6"/>
  <c r="N359" i="6"/>
  <c r="P243" i="6"/>
  <c r="L744" i="6"/>
  <c r="L743" i="6"/>
  <c r="L747" i="6"/>
  <c r="O755" i="6"/>
  <c r="P755" i="6" s="1"/>
  <c r="O753" i="6"/>
  <c r="P753" i="6" s="1"/>
  <c r="O752" i="6"/>
  <c r="P752" i="6" s="1"/>
  <c r="L746" i="6"/>
  <c r="L745" i="6"/>
  <c r="O754" i="6"/>
  <c r="P754" i="6" s="1"/>
  <c r="O756" i="6"/>
  <c r="P756" i="6" s="1"/>
  <c r="O451" i="6"/>
  <c r="P451" i="6" s="1"/>
  <c r="O449" i="6"/>
  <c r="P449" i="6" s="1"/>
  <c r="O448" i="6"/>
  <c r="P448" i="6" s="1"/>
  <c r="L442" i="6"/>
  <c r="L441" i="6"/>
  <c r="O452" i="6"/>
  <c r="P452" i="6" s="1"/>
  <c r="O450" i="6"/>
  <c r="P450" i="6" s="1"/>
  <c r="L440" i="6"/>
  <c r="L439" i="6"/>
  <c r="L443" i="6"/>
  <c r="L452" i="6"/>
  <c r="O283" i="6"/>
  <c r="M283" i="6"/>
  <c r="L261" i="6"/>
  <c r="AB242" i="6"/>
  <c r="B248" i="6"/>
  <c r="O908" i="6"/>
  <c r="P908" i="6" s="1"/>
  <c r="O906" i="6"/>
  <c r="P906" i="6" s="1"/>
  <c r="L896" i="6"/>
  <c r="L895" i="6"/>
  <c r="L899" i="6"/>
  <c r="O905" i="6"/>
  <c r="P905" i="6" s="1"/>
  <c r="O907" i="6"/>
  <c r="P907" i="6" s="1"/>
  <c r="L897" i="6"/>
  <c r="O904" i="6"/>
  <c r="P904" i="6" s="1"/>
  <c r="L898" i="6"/>
  <c r="AB737" i="6"/>
  <c r="B743" i="6"/>
  <c r="J435" i="6"/>
  <c r="H435" i="6"/>
  <c r="L92" i="6"/>
  <c r="N91" i="6"/>
  <c r="H92" i="6"/>
  <c r="J92" i="6"/>
  <c r="X510" i="6"/>
  <c r="V511" i="6"/>
  <c r="S738" i="6"/>
  <c r="Q739" i="6"/>
  <c r="N852" i="6"/>
  <c r="L853" i="6"/>
  <c r="X738" i="6"/>
  <c r="V739" i="6"/>
  <c r="AB509" i="6"/>
  <c r="B515" i="6"/>
  <c r="P224" i="6"/>
  <c r="V322" i="6"/>
  <c r="X321" i="6"/>
  <c r="S776" i="6"/>
  <c r="U776" i="6" s="1"/>
  <c r="Q777" i="6"/>
  <c r="Q207" i="6"/>
  <c r="S206" i="6"/>
  <c r="U206" i="6" s="1"/>
  <c r="AB357" i="6"/>
  <c r="B363" i="6"/>
  <c r="N129" i="6"/>
  <c r="L130" i="6"/>
  <c r="G664" i="6"/>
  <c r="I663" i="6"/>
  <c r="K489" i="6"/>
  <c r="L489" i="6" s="1"/>
  <c r="K487" i="6"/>
  <c r="L487" i="6" s="1"/>
  <c r="K486" i="6"/>
  <c r="L486" i="6" s="1"/>
  <c r="I480" i="6"/>
  <c r="I479" i="6"/>
  <c r="K488" i="6"/>
  <c r="L488" i="6" s="1"/>
  <c r="I478" i="6"/>
  <c r="I477" i="6"/>
  <c r="AC474" i="6"/>
  <c r="B135" i="6"/>
  <c r="B172" i="6"/>
  <c r="AB166" i="6"/>
  <c r="AB281" i="6"/>
  <c r="B287" i="6"/>
  <c r="B554" i="6"/>
  <c r="P605" i="6"/>
  <c r="S604" i="6" s="1"/>
  <c r="B820" i="6"/>
  <c r="B592" i="6"/>
  <c r="O777" i="6"/>
  <c r="M777" i="6"/>
  <c r="L109" i="6"/>
  <c r="I890" i="6"/>
  <c r="K890" i="6" s="1"/>
  <c r="G891" i="6"/>
  <c r="S662" i="6"/>
  <c r="Q663" i="6"/>
  <c r="O663" i="6"/>
  <c r="M663" i="6"/>
  <c r="H587" i="6"/>
  <c r="J587" i="6"/>
  <c r="P359" i="6"/>
  <c r="L244" i="6"/>
  <c r="N243" i="6"/>
  <c r="M54" i="6"/>
  <c r="O54" i="6"/>
  <c r="G626" i="6"/>
  <c r="I625" i="6"/>
  <c r="K625" i="6" s="1"/>
  <c r="S282" i="6"/>
  <c r="Q283" i="6"/>
  <c r="L223" i="6"/>
  <c r="W398" i="6"/>
  <c r="X398" i="6" s="1"/>
  <c r="Y398" i="6"/>
  <c r="P34" i="6"/>
  <c r="S33" i="6" s="1"/>
  <c r="R853" i="6"/>
  <c r="T853" i="6"/>
  <c r="Y587" i="6"/>
  <c r="W587" i="6"/>
  <c r="G131" i="6"/>
  <c r="I130" i="6"/>
  <c r="K130" i="6" s="1"/>
  <c r="L671" i="6"/>
  <c r="O679" i="6"/>
  <c r="P679" i="6" s="1"/>
  <c r="O677" i="6"/>
  <c r="P677" i="6" s="1"/>
  <c r="O676" i="6"/>
  <c r="P676" i="6" s="1"/>
  <c r="L670" i="6"/>
  <c r="L669" i="6"/>
  <c r="O680" i="6"/>
  <c r="P680" i="6" s="1"/>
  <c r="O678" i="6"/>
  <c r="P678" i="6" s="1"/>
  <c r="L668" i="6"/>
  <c r="L667" i="6"/>
  <c r="R435" i="6"/>
  <c r="T435" i="6"/>
  <c r="L338" i="6"/>
  <c r="R549" i="6"/>
  <c r="T549" i="6"/>
  <c r="U738" i="6"/>
  <c r="V55" i="6"/>
  <c r="X54" i="6"/>
  <c r="Z54" i="6" s="1"/>
  <c r="P852" i="6"/>
  <c r="V92" i="6"/>
  <c r="X91" i="6"/>
  <c r="Z91" i="6" s="1"/>
  <c r="B895" i="6"/>
  <c r="AB889" i="6"/>
  <c r="L706" i="6"/>
  <c r="L705" i="6"/>
  <c r="L709" i="6"/>
  <c r="O715" i="6"/>
  <c r="P715" i="6" s="1"/>
  <c r="O714" i="6"/>
  <c r="P714" i="6" s="1"/>
  <c r="L708" i="6"/>
  <c r="O718" i="6"/>
  <c r="P718" i="6" s="1"/>
  <c r="O716" i="6"/>
  <c r="P716" i="6" s="1"/>
  <c r="L707" i="6"/>
  <c r="O717" i="6"/>
  <c r="P717" i="6" s="1"/>
  <c r="T701" i="6"/>
  <c r="R701" i="6"/>
  <c r="G360" i="6"/>
  <c r="I359" i="6"/>
  <c r="K359" i="6" s="1"/>
  <c r="R168" i="6"/>
  <c r="T168" i="6"/>
  <c r="S397" i="6"/>
  <c r="U397" i="6" s="1"/>
  <c r="Q398" i="6"/>
  <c r="N167" i="6"/>
  <c r="P167" i="6" s="1"/>
  <c r="AA167" i="6" s="1"/>
  <c r="L168" i="6"/>
  <c r="G17" i="6"/>
  <c r="I16" i="6"/>
  <c r="K16" i="6" s="1"/>
  <c r="M206" i="6"/>
  <c r="O206" i="6"/>
  <c r="K70" i="6"/>
  <c r="L70" i="6" s="1"/>
  <c r="K68" i="6"/>
  <c r="L68" i="6" s="1"/>
  <c r="K67" i="6"/>
  <c r="L67" i="6" s="1"/>
  <c r="I61" i="6"/>
  <c r="I60" i="6"/>
  <c r="I58" i="6"/>
  <c r="K69" i="6"/>
  <c r="L69" i="6" s="1"/>
  <c r="I59" i="6"/>
  <c r="AC55" i="6"/>
  <c r="L739" i="6"/>
  <c r="N738" i="6"/>
  <c r="P738" i="6" s="1"/>
  <c r="O831" i="6"/>
  <c r="P831" i="6" s="1"/>
  <c r="O829" i="6"/>
  <c r="P829" i="6" s="1"/>
  <c r="O828" i="6"/>
  <c r="P828" i="6" s="1"/>
  <c r="L822" i="6"/>
  <c r="L821" i="6"/>
  <c r="O832" i="6"/>
  <c r="P832" i="6" s="1"/>
  <c r="O830" i="6"/>
  <c r="P830" i="6" s="1"/>
  <c r="L823" i="6"/>
  <c r="L820" i="6"/>
  <c r="L819" i="6"/>
  <c r="Y891" i="6"/>
  <c r="W891" i="6"/>
  <c r="Y473" i="6"/>
  <c r="W473" i="6"/>
  <c r="N548" i="6"/>
  <c r="L549" i="6"/>
  <c r="P129" i="6"/>
  <c r="AB661" i="6"/>
  <c r="B667" i="6"/>
  <c r="B439" i="6"/>
  <c r="AB433" i="6"/>
  <c r="Q92" i="6"/>
  <c r="S91" i="6"/>
  <c r="L100" i="6"/>
  <c r="O108" i="6"/>
  <c r="P108" i="6" s="1"/>
  <c r="O106" i="6"/>
  <c r="P106" i="6" s="1"/>
  <c r="O105" i="6"/>
  <c r="P105" i="6" s="1"/>
  <c r="L99" i="6"/>
  <c r="L98" i="6"/>
  <c r="L97" i="6"/>
  <c r="O109" i="6"/>
  <c r="P109" i="6" s="1"/>
  <c r="O107" i="6"/>
  <c r="P107" i="6" s="1"/>
  <c r="L96" i="6"/>
  <c r="U662" i="6"/>
  <c r="J853" i="6"/>
  <c r="H853" i="6"/>
  <c r="Z435" i="6"/>
  <c r="O184" i="6"/>
  <c r="P184" i="6" s="1"/>
  <c r="O182" i="6"/>
  <c r="P182" i="6" s="1"/>
  <c r="O181" i="6"/>
  <c r="P181" i="6" s="1"/>
  <c r="L175" i="6"/>
  <c r="L174" i="6"/>
  <c r="O185" i="6"/>
  <c r="P185" i="6" s="1"/>
  <c r="O183" i="6"/>
  <c r="P183" i="6" s="1"/>
  <c r="L173" i="6"/>
  <c r="L172" i="6"/>
  <c r="L176" i="6"/>
  <c r="B706" i="6"/>
  <c r="U282" i="6"/>
  <c r="L249" i="6"/>
  <c r="L248" i="6"/>
  <c r="L252" i="6"/>
  <c r="O260" i="6"/>
  <c r="P260" i="6" s="1"/>
  <c r="O258" i="6"/>
  <c r="P258" i="6" s="1"/>
  <c r="O257" i="6"/>
  <c r="P257" i="6" s="1"/>
  <c r="L251" i="6"/>
  <c r="L250" i="6"/>
  <c r="O261" i="6"/>
  <c r="P261" i="6" s="1"/>
  <c r="O259" i="6"/>
  <c r="P259" i="6" s="1"/>
  <c r="V17" i="6"/>
  <c r="X16" i="6"/>
  <c r="Z16" i="6" s="1"/>
  <c r="P795" i="6"/>
  <c r="S794" i="6" s="1"/>
  <c r="T625" i="6"/>
  <c r="R625" i="6"/>
  <c r="P567" i="6"/>
  <c r="S566" i="6" s="1"/>
  <c r="B782" i="6"/>
  <c r="M473" i="6"/>
  <c r="O473" i="6"/>
  <c r="Q173" i="6"/>
  <c r="R173" i="6" s="1"/>
  <c r="L680" i="6"/>
  <c r="O511" i="6"/>
  <c r="M511" i="6"/>
  <c r="X358" i="6"/>
  <c r="Z358" i="6" s="1"/>
  <c r="Q364" i="6" s="1"/>
  <c r="R364" i="6" s="1"/>
  <c r="V359" i="6"/>
  <c r="I243" i="6"/>
  <c r="K243" i="6" s="1"/>
  <c r="G244" i="6"/>
  <c r="J168" i="6"/>
  <c r="H168" i="6"/>
  <c r="K398" i="6"/>
  <c r="N434" i="6"/>
  <c r="P434" i="6" s="1"/>
  <c r="L435" i="6"/>
  <c r="O397" i="6"/>
  <c r="M397" i="6"/>
  <c r="B325" i="6"/>
  <c r="AB319" i="6"/>
  <c r="AB623" i="6"/>
  <c r="B629" i="6"/>
  <c r="I205" i="6"/>
  <c r="K205" i="6" s="1"/>
  <c r="G206" i="6"/>
  <c r="V169" i="6"/>
  <c r="X168" i="6"/>
  <c r="Z168" i="6" s="1"/>
  <c r="H70" i="6"/>
  <c r="P890" i="6"/>
  <c r="S870" i="6"/>
  <c r="AA358" i="6"/>
  <c r="P548" i="6"/>
  <c r="J321" i="6"/>
  <c r="H321" i="6"/>
  <c r="P148" i="6"/>
  <c r="S147" i="6" s="1"/>
  <c r="O815" i="6"/>
  <c r="M815" i="6"/>
  <c r="I472" i="6"/>
  <c r="K472" i="6" s="1"/>
  <c r="G473" i="6"/>
  <c r="B857" i="6"/>
  <c r="AB851" i="6"/>
  <c r="B477" i="6"/>
  <c r="AB471" i="6"/>
  <c r="L626" i="6"/>
  <c r="N625" i="6"/>
  <c r="P625" i="6" s="1"/>
  <c r="U91" i="6"/>
  <c r="Z853" i="6"/>
  <c r="P301" i="6"/>
  <c r="S300" i="6" s="1"/>
  <c r="B210" i="6"/>
  <c r="AB204" i="6"/>
  <c r="T244" i="6"/>
  <c r="R244" i="6"/>
  <c r="G739" i="6"/>
  <c r="I738" i="6"/>
  <c r="K738" i="6" s="1"/>
  <c r="V436" i="6"/>
  <c r="X435" i="6"/>
  <c r="G778" i="6"/>
  <c r="I777" i="6"/>
  <c r="K777" i="6" s="1"/>
  <c r="G284" i="6"/>
  <c r="I283" i="6"/>
  <c r="K283" i="6" s="1"/>
  <c r="N320" i="6"/>
  <c r="P320" i="6" s="1"/>
  <c r="L321" i="6"/>
  <c r="I701" i="6"/>
  <c r="K701" i="6" s="1"/>
  <c r="G702" i="6"/>
  <c r="Q474" i="6"/>
  <c r="S473" i="6"/>
  <c r="U473" i="6" s="1"/>
  <c r="G54" i="6"/>
  <c r="I53" i="6"/>
  <c r="K53" i="6" s="1"/>
  <c r="B96" i="6"/>
  <c r="AB90" i="6"/>
  <c r="R54" i="6"/>
  <c r="T54" i="6"/>
  <c r="M587" i="6"/>
  <c r="O587" i="6"/>
  <c r="T359" i="6"/>
  <c r="R359" i="6"/>
  <c r="Q892" i="6"/>
  <c r="S891" i="6"/>
  <c r="U891" i="6" s="1"/>
  <c r="W663" i="6"/>
  <c r="Y663" i="6"/>
  <c r="Q588" i="6"/>
  <c r="S587" i="6"/>
  <c r="U587" i="6" s="1"/>
  <c r="L519" i="6"/>
  <c r="O527" i="6"/>
  <c r="P527" i="6" s="1"/>
  <c r="O525" i="6"/>
  <c r="P525" i="6" s="1"/>
  <c r="O524" i="6"/>
  <c r="P524" i="6" s="1"/>
  <c r="L518" i="6"/>
  <c r="L517" i="6"/>
  <c r="L516" i="6"/>
  <c r="O528" i="6"/>
  <c r="P528" i="6" s="1"/>
  <c r="O526" i="6"/>
  <c r="P526" i="6" s="1"/>
  <c r="L515" i="6"/>
  <c r="P91" i="6"/>
  <c r="S815" i="6"/>
  <c r="U815" i="6" s="1"/>
  <c r="Q816" i="6"/>
  <c r="Q402" i="6"/>
  <c r="R402" i="6" s="1"/>
  <c r="AA396" i="6"/>
  <c r="L329" i="6"/>
  <c r="O338" i="6"/>
  <c r="P338" i="6" s="1"/>
  <c r="O336" i="6"/>
  <c r="P336" i="6" s="1"/>
  <c r="L327" i="6"/>
  <c r="O337" i="6"/>
  <c r="P337" i="6" s="1"/>
  <c r="L326" i="6"/>
  <c r="L325" i="6"/>
  <c r="L328" i="6"/>
  <c r="O335" i="6"/>
  <c r="P335" i="6" s="1"/>
  <c r="O334" i="6"/>
  <c r="P334" i="6" s="1"/>
  <c r="Z510" i="6"/>
  <c r="W284" i="6"/>
  <c r="X284" i="6" s="1"/>
  <c r="Y284" i="6"/>
  <c r="X243" i="6"/>
  <c r="Z243" i="6" s="1"/>
  <c r="V244" i="6"/>
  <c r="R130" i="6"/>
  <c r="T130" i="6"/>
  <c r="R321" i="6"/>
  <c r="T321" i="6"/>
  <c r="M701" i="6"/>
  <c r="O701" i="6"/>
  <c r="Z738" i="6"/>
  <c r="Y701" i="6"/>
  <c r="W701" i="6"/>
  <c r="B21" i="6"/>
  <c r="P377" i="6"/>
  <c r="S376" i="6" s="1"/>
  <c r="B402" i="6"/>
  <c r="S510" i="6"/>
  <c r="U510" i="6" s="1"/>
  <c r="Q511" i="6"/>
  <c r="Z321" i="6"/>
  <c r="N15" i="6"/>
  <c r="P15" i="6" s="1"/>
  <c r="L16" i="6"/>
  <c r="N890" i="6"/>
  <c r="L891" i="6"/>
  <c r="L832" i="6"/>
  <c r="Y206" i="6"/>
  <c r="W206" i="6"/>
  <c r="K663" i="6"/>
  <c r="X624" i="6"/>
  <c r="Z624" i="6" s="1"/>
  <c r="V625" i="6"/>
  <c r="B58" i="6"/>
  <c r="AB52" i="6"/>
  <c r="P491" i="5"/>
  <c r="P34" i="5"/>
  <c r="L908" i="5"/>
  <c r="P795" i="5"/>
  <c r="L756" i="5"/>
  <c r="U702" i="5"/>
  <c r="L680" i="5"/>
  <c r="S490" i="5"/>
  <c r="L452" i="5"/>
  <c r="P339" i="5"/>
  <c r="S338" i="5" s="1"/>
  <c r="K131" i="5"/>
  <c r="AA472" i="5"/>
  <c r="Q478" i="5"/>
  <c r="R478" i="5" s="1"/>
  <c r="AA624" i="5"/>
  <c r="Q630" i="5"/>
  <c r="R630" i="5" s="1"/>
  <c r="W511" i="5"/>
  <c r="Y511" i="5"/>
  <c r="B630" i="5"/>
  <c r="I243" i="5"/>
  <c r="G244" i="5"/>
  <c r="L663" i="5"/>
  <c r="N662" i="5"/>
  <c r="L252" i="5"/>
  <c r="L249" i="5"/>
  <c r="L248" i="5"/>
  <c r="O260" i="5"/>
  <c r="P260" i="5" s="1"/>
  <c r="O259" i="5"/>
  <c r="P259" i="5" s="1"/>
  <c r="L250" i="5"/>
  <c r="O258" i="5"/>
  <c r="P258" i="5" s="1"/>
  <c r="L251" i="5"/>
  <c r="O261" i="5"/>
  <c r="P261" i="5" s="1"/>
  <c r="O257" i="5"/>
  <c r="P257" i="5" s="1"/>
  <c r="AB585" i="5"/>
  <c r="B591" i="5"/>
  <c r="L321" i="5"/>
  <c r="N320" i="5"/>
  <c r="G283" i="5"/>
  <c r="I282" i="5"/>
  <c r="K282" i="5" s="1"/>
  <c r="S852" i="5"/>
  <c r="U852" i="5" s="1"/>
  <c r="Q853" i="5"/>
  <c r="J321" i="5"/>
  <c r="H321" i="5"/>
  <c r="B21" i="5"/>
  <c r="J92" i="5"/>
  <c r="H92" i="5"/>
  <c r="AB775" i="5"/>
  <c r="B781" i="5"/>
  <c r="L604" i="5"/>
  <c r="S586" i="5"/>
  <c r="Q587" i="5"/>
  <c r="O300" i="5"/>
  <c r="P300" i="5" s="1"/>
  <c r="O298" i="5"/>
  <c r="P298" i="5" s="1"/>
  <c r="L290" i="5"/>
  <c r="L289" i="5"/>
  <c r="O299" i="5"/>
  <c r="P299" i="5" s="1"/>
  <c r="L287" i="5"/>
  <c r="O297" i="5"/>
  <c r="P297" i="5" s="1"/>
  <c r="L288" i="5"/>
  <c r="O296" i="5"/>
  <c r="P296" i="5" s="1"/>
  <c r="L291" i="5"/>
  <c r="U15" i="5"/>
  <c r="G398" i="5"/>
  <c r="I397" i="5"/>
  <c r="K397" i="5" s="1"/>
  <c r="S129" i="5"/>
  <c r="U129" i="5" s="1"/>
  <c r="Q130" i="5"/>
  <c r="K243" i="5"/>
  <c r="P909" i="5"/>
  <c r="S908" i="5" s="1"/>
  <c r="L671" i="5"/>
  <c r="L668" i="5"/>
  <c r="L667" i="5"/>
  <c r="O679" i="5"/>
  <c r="P679" i="5" s="1"/>
  <c r="O677" i="5"/>
  <c r="P677" i="5" s="1"/>
  <c r="O676" i="5"/>
  <c r="P676" i="5" s="1"/>
  <c r="L670" i="5"/>
  <c r="L669" i="5"/>
  <c r="O678" i="5"/>
  <c r="P678" i="5" s="1"/>
  <c r="O680" i="5"/>
  <c r="P680" i="5" s="1"/>
  <c r="L511" i="5"/>
  <c r="N510" i="5"/>
  <c r="L261" i="5"/>
  <c r="P833" i="5"/>
  <c r="S832" i="5" s="1"/>
  <c r="H778" i="5"/>
  <c r="I778" i="5" s="1"/>
  <c r="J778" i="5"/>
  <c r="L739" i="5"/>
  <c r="N738" i="5"/>
  <c r="U358" i="5"/>
  <c r="L642" i="5"/>
  <c r="I548" i="5"/>
  <c r="G549" i="5"/>
  <c r="P110" i="5"/>
  <c r="S109" i="5" s="1"/>
  <c r="X129" i="5"/>
  <c r="Z129" i="5" s="1"/>
  <c r="V130" i="5"/>
  <c r="B402" i="5"/>
  <c r="B478" i="5"/>
  <c r="J16" i="5"/>
  <c r="H16" i="5"/>
  <c r="Q663" i="5"/>
  <c r="S662" i="5"/>
  <c r="AA396" i="5"/>
  <c r="L206" i="5"/>
  <c r="N205" i="5"/>
  <c r="P205" i="5" s="1"/>
  <c r="T92" i="5"/>
  <c r="R92" i="5"/>
  <c r="I211" i="5"/>
  <c r="I210" i="5"/>
  <c r="I212" i="5"/>
  <c r="K219" i="5"/>
  <c r="L219" i="5" s="1"/>
  <c r="K222" i="5"/>
  <c r="L222" i="5" s="1"/>
  <c r="K221" i="5"/>
  <c r="L221" i="5" s="1"/>
  <c r="I213" i="5"/>
  <c r="AC207" i="5"/>
  <c r="K220" i="5"/>
  <c r="L220" i="5" s="1"/>
  <c r="O375" i="5"/>
  <c r="P375" i="5" s="1"/>
  <c r="O373" i="5"/>
  <c r="P373" i="5" s="1"/>
  <c r="O372" i="5"/>
  <c r="P372" i="5" s="1"/>
  <c r="O374" i="5"/>
  <c r="P374" i="5" s="1"/>
  <c r="L364" i="5"/>
  <c r="L363" i="5"/>
  <c r="L366" i="5"/>
  <c r="O376" i="5"/>
  <c r="P376" i="5" s="1"/>
  <c r="L367" i="5"/>
  <c r="L365" i="5"/>
  <c r="L376" i="5"/>
  <c r="K525" i="5"/>
  <c r="L525" i="5" s="1"/>
  <c r="I516" i="5"/>
  <c r="K526" i="5"/>
  <c r="K524" i="5"/>
  <c r="L524" i="5" s="1"/>
  <c r="K527" i="5"/>
  <c r="I517" i="5"/>
  <c r="I515" i="5"/>
  <c r="I518" i="5"/>
  <c r="AC512" i="5"/>
  <c r="O473" i="5"/>
  <c r="M473" i="5"/>
  <c r="M435" i="5"/>
  <c r="O435" i="5"/>
  <c r="U814" i="5"/>
  <c r="Q244" i="5"/>
  <c r="S243" i="5"/>
  <c r="L16" i="5"/>
  <c r="N15" i="5"/>
  <c r="P15" i="5" s="1"/>
  <c r="L130" i="5"/>
  <c r="N129" i="5"/>
  <c r="O54" i="5"/>
  <c r="M54" i="5"/>
  <c r="Q16" i="5"/>
  <c r="S15" i="5"/>
  <c r="B287" i="5"/>
  <c r="AB281" i="5"/>
  <c r="J701" i="5"/>
  <c r="H701" i="5"/>
  <c r="G853" i="5"/>
  <c r="I852" i="5"/>
  <c r="P738" i="5"/>
  <c r="AB661" i="5"/>
  <c r="B667" i="5"/>
  <c r="AB242" i="5"/>
  <c r="B248" i="5"/>
  <c r="G360" i="5"/>
  <c r="I359" i="5"/>
  <c r="K359" i="5" s="1"/>
  <c r="AB851" i="5"/>
  <c r="B857" i="5"/>
  <c r="AA700" i="5"/>
  <c r="Q706" i="5"/>
  <c r="R706" i="5" s="1"/>
  <c r="AB166" i="5"/>
  <c r="B172" i="5"/>
  <c r="U586" i="5"/>
  <c r="I662" i="5"/>
  <c r="K662" i="5" s="1"/>
  <c r="G663" i="5"/>
  <c r="J473" i="5"/>
  <c r="H473" i="5"/>
  <c r="S794" i="5"/>
  <c r="I434" i="5"/>
  <c r="K434" i="5" s="1"/>
  <c r="G435" i="5"/>
  <c r="P510" i="5"/>
  <c r="O451" i="5"/>
  <c r="P451" i="5" s="1"/>
  <c r="O449" i="5"/>
  <c r="P449" i="5" s="1"/>
  <c r="O448" i="5"/>
  <c r="P448" i="5" s="1"/>
  <c r="O452" i="5"/>
  <c r="P452" i="5" s="1"/>
  <c r="L441" i="5"/>
  <c r="L440" i="5"/>
  <c r="L443" i="5"/>
  <c r="L439" i="5"/>
  <c r="O450" i="5"/>
  <c r="P450" i="5" s="1"/>
  <c r="L442" i="5"/>
  <c r="Q511" i="5"/>
  <c r="S510" i="5"/>
  <c r="U510" i="5" s="1"/>
  <c r="X434" i="5"/>
  <c r="Z434" i="5" s="1"/>
  <c r="V435" i="5"/>
  <c r="Q474" i="5"/>
  <c r="S473" i="5"/>
  <c r="U473" i="5" s="1"/>
  <c r="X738" i="5"/>
  <c r="V739" i="5"/>
  <c r="L587" i="5"/>
  <c r="N586" i="5"/>
  <c r="P586" i="5" s="1"/>
  <c r="K548" i="5"/>
  <c r="L853" i="5"/>
  <c r="N852" i="5"/>
  <c r="P852" i="5" s="1"/>
  <c r="AB433" i="5"/>
  <c r="B439" i="5"/>
  <c r="L718" i="5"/>
  <c r="Y625" i="5"/>
  <c r="W625" i="5"/>
  <c r="O701" i="5"/>
  <c r="M701" i="5"/>
  <c r="AB737" i="5"/>
  <c r="B743" i="5"/>
  <c r="B96" i="5"/>
  <c r="AB90" i="5"/>
  <c r="L244" i="5"/>
  <c r="N243" i="5"/>
  <c r="P243" i="5" s="1"/>
  <c r="X776" i="5"/>
  <c r="Z776" i="5" s="1"/>
  <c r="V777" i="5"/>
  <c r="U662" i="5"/>
  <c r="Q435" i="5"/>
  <c r="S434" i="5"/>
  <c r="H222" i="5"/>
  <c r="B895" i="5"/>
  <c r="AB889" i="5"/>
  <c r="H527" i="5"/>
  <c r="B134" i="5"/>
  <c r="AB128" i="5"/>
  <c r="V474" i="5"/>
  <c r="X473" i="5"/>
  <c r="Z473" i="5" s="1"/>
  <c r="L283" i="5"/>
  <c r="N282" i="5"/>
  <c r="P282" i="5" s="1"/>
  <c r="G511" i="5"/>
  <c r="I510" i="5"/>
  <c r="K510" i="5" s="1"/>
  <c r="X358" i="5"/>
  <c r="Z358" i="5" s="1"/>
  <c r="V359" i="5"/>
  <c r="Y663" i="5"/>
  <c r="W663" i="5"/>
  <c r="U243" i="5"/>
  <c r="V54" i="5"/>
  <c r="X53" i="5"/>
  <c r="Z53" i="5" s="1"/>
  <c r="W701" i="5"/>
  <c r="Y701" i="5"/>
  <c r="O71" i="5"/>
  <c r="P71" i="5" s="1"/>
  <c r="O69" i="5"/>
  <c r="P69" i="5" s="1"/>
  <c r="L61" i="5"/>
  <c r="L60" i="5"/>
  <c r="O68" i="5"/>
  <c r="P68" i="5" s="1"/>
  <c r="L59" i="5"/>
  <c r="O67" i="5"/>
  <c r="P67" i="5" s="1"/>
  <c r="L62" i="5"/>
  <c r="O70" i="5"/>
  <c r="P70" i="5" s="1"/>
  <c r="L58" i="5"/>
  <c r="L815" i="5"/>
  <c r="N814" i="5"/>
  <c r="P814" i="5" s="1"/>
  <c r="T777" i="5"/>
  <c r="R777" i="5"/>
  <c r="Q549" i="5"/>
  <c r="S548" i="5"/>
  <c r="U548" i="5" s="1"/>
  <c r="P129" i="5"/>
  <c r="J54" i="5"/>
  <c r="H54" i="5"/>
  <c r="I890" i="5"/>
  <c r="K890" i="5" s="1"/>
  <c r="G891" i="5"/>
  <c r="Y92" i="5"/>
  <c r="W92" i="5"/>
  <c r="L414" i="5"/>
  <c r="Q359" i="5"/>
  <c r="S358" i="5"/>
  <c r="O778" i="5"/>
  <c r="M778" i="5"/>
  <c r="N778" i="5" s="1"/>
  <c r="G587" i="5"/>
  <c r="I586" i="5"/>
  <c r="K586" i="5" s="1"/>
  <c r="G206" i="5"/>
  <c r="I205" i="5"/>
  <c r="K205" i="5" s="1"/>
  <c r="Z891" i="5"/>
  <c r="N91" i="5"/>
  <c r="L92" i="5"/>
  <c r="Q815" i="5"/>
  <c r="S814" i="5"/>
  <c r="B210" i="5"/>
  <c r="AB204" i="5"/>
  <c r="O603" i="5"/>
  <c r="P603" i="5" s="1"/>
  <c r="O601" i="5"/>
  <c r="P601" i="5" s="1"/>
  <c r="O600" i="5"/>
  <c r="P600" i="5" s="1"/>
  <c r="O604" i="5"/>
  <c r="P604" i="5" s="1"/>
  <c r="O602" i="5"/>
  <c r="P602" i="5" s="1"/>
  <c r="L594" i="5"/>
  <c r="L593" i="5"/>
  <c r="L595" i="5"/>
  <c r="L591" i="5"/>
  <c r="L592" i="5"/>
  <c r="L300" i="5"/>
  <c r="V283" i="5"/>
  <c r="X282" i="5"/>
  <c r="Z282" i="5" s="1"/>
  <c r="U398" i="5"/>
  <c r="X853" i="5"/>
  <c r="Z853" i="5" s="1"/>
  <c r="V854" i="5"/>
  <c r="K852" i="5"/>
  <c r="X814" i="5"/>
  <c r="Z814" i="5" s="1"/>
  <c r="V815" i="5"/>
  <c r="P662" i="5"/>
  <c r="V321" i="5"/>
  <c r="X320" i="5"/>
  <c r="Z320" i="5" s="1"/>
  <c r="N625" i="5"/>
  <c r="P625" i="5" s="1"/>
  <c r="L626" i="5"/>
  <c r="B706" i="5"/>
  <c r="B553" i="5"/>
  <c r="AB547" i="5"/>
  <c r="U169" i="5"/>
  <c r="X586" i="5"/>
  <c r="Z586" i="5" s="1"/>
  <c r="V587" i="5"/>
  <c r="I167" i="5"/>
  <c r="K167" i="5" s="1"/>
  <c r="G168" i="5"/>
  <c r="Z738" i="5"/>
  <c r="O410" i="5"/>
  <c r="P410" i="5" s="1"/>
  <c r="L405" i="5"/>
  <c r="O414" i="5"/>
  <c r="P414" i="5" s="1"/>
  <c r="O412" i="5"/>
  <c r="P412" i="5" s="1"/>
  <c r="O411" i="5"/>
  <c r="P411" i="5" s="1"/>
  <c r="L402" i="5"/>
  <c r="O413" i="5"/>
  <c r="P413" i="5" s="1"/>
  <c r="L404" i="5"/>
  <c r="L403" i="5"/>
  <c r="L401" i="5"/>
  <c r="H739" i="5"/>
  <c r="J739" i="5"/>
  <c r="Y549" i="5"/>
  <c r="W549" i="5"/>
  <c r="O642" i="5"/>
  <c r="P642" i="5" s="1"/>
  <c r="O640" i="5"/>
  <c r="P640" i="5" s="1"/>
  <c r="L633" i="5"/>
  <c r="L630" i="5"/>
  <c r="L629" i="5"/>
  <c r="L631" i="5"/>
  <c r="O639" i="5"/>
  <c r="P639" i="5" s="1"/>
  <c r="O641" i="5"/>
  <c r="P641" i="5" s="1"/>
  <c r="O638" i="5"/>
  <c r="P638" i="5" s="1"/>
  <c r="L632" i="5"/>
  <c r="B326" i="5"/>
  <c r="J625" i="5"/>
  <c r="H625" i="5"/>
  <c r="P320" i="5"/>
  <c r="O718" i="5"/>
  <c r="P718" i="5" s="1"/>
  <c r="O716" i="5"/>
  <c r="P716" i="5" s="1"/>
  <c r="L708" i="5"/>
  <c r="L707" i="5"/>
  <c r="O717" i="5"/>
  <c r="P717" i="5" s="1"/>
  <c r="L706" i="5"/>
  <c r="L709" i="5"/>
  <c r="L705" i="5"/>
  <c r="O714" i="5"/>
  <c r="P714" i="5" s="1"/>
  <c r="O715" i="5"/>
  <c r="P715" i="5" s="1"/>
  <c r="Q321" i="5"/>
  <c r="S320" i="5"/>
  <c r="U320" i="5" s="1"/>
  <c r="N548" i="5"/>
  <c r="P548" i="5" s="1"/>
  <c r="L549" i="5"/>
  <c r="S205" i="5"/>
  <c r="U205" i="5" s="1"/>
  <c r="Q206" i="5"/>
  <c r="M891" i="5"/>
  <c r="O891" i="5"/>
  <c r="AB509" i="5"/>
  <c r="B515" i="5"/>
  <c r="V168" i="5"/>
  <c r="X167" i="5"/>
  <c r="Z167" i="5" s="1"/>
  <c r="U434" i="5"/>
  <c r="V206" i="5"/>
  <c r="X205" i="5"/>
  <c r="Z205" i="5" s="1"/>
  <c r="L168" i="5"/>
  <c r="N167" i="5"/>
  <c r="P167" i="5" s="1"/>
  <c r="I814" i="5"/>
  <c r="K814" i="5" s="1"/>
  <c r="G815" i="5"/>
  <c r="P871" i="5"/>
  <c r="S870" i="5" s="1"/>
  <c r="V244" i="5"/>
  <c r="X243" i="5"/>
  <c r="Z243" i="5" s="1"/>
  <c r="V16" i="5"/>
  <c r="X15" i="5"/>
  <c r="Z15" i="5" s="1"/>
  <c r="T54" i="5"/>
  <c r="R54" i="5"/>
  <c r="V892" i="5"/>
  <c r="X891" i="5"/>
  <c r="P91" i="5"/>
  <c r="AA91" i="5" s="1"/>
  <c r="S566" i="5"/>
  <c r="S33" i="5"/>
  <c r="AB813" i="5"/>
  <c r="B819" i="5"/>
  <c r="L747" i="5"/>
  <c r="L744" i="5"/>
  <c r="L743" i="5"/>
  <c r="O755" i="5"/>
  <c r="P755" i="5" s="1"/>
  <c r="O753" i="5"/>
  <c r="P753" i="5" s="1"/>
  <c r="O752" i="5"/>
  <c r="P752" i="5" s="1"/>
  <c r="O756" i="5"/>
  <c r="P756" i="5" s="1"/>
  <c r="O754" i="5"/>
  <c r="P754" i="5" s="1"/>
  <c r="L745" i="5"/>
  <c r="L746" i="5"/>
  <c r="L360" i="5"/>
  <c r="N359" i="5"/>
  <c r="P359" i="5" s="1"/>
  <c r="L71" i="5"/>
  <c r="Q739" i="5"/>
  <c r="S738" i="5"/>
  <c r="U738" i="5" s="1"/>
  <c r="S283" i="5"/>
  <c r="U283" i="5" s="1"/>
  <c r="Q284" i="5"/>
  <c r="M397" i="5"/>
  <c r="O397" i="5"/>
  <c r="B364" i="5"/>
  <c r="B59" i="5"/>
  <c r="L866" i="12"/>
  <c r="L642" i="12"/>
  <c r="H603" i="12"/>
  <c r="P297" i="12"/>
  <c r="P301" i="12" s="1"/>
  <c r="P298" i="12"/>
  <c r="L109" i="12"/>
  <c r="P107" i="12"/>
  <c r="B439" i="12"/>
  <c r="AB433" i="12"/>
  <c r="AA889" i="12"/>
  <c r="Q895" i="12"/>
  <c r="R895" i="12" s="1"/>
  <c r="Q591" i="12"/>
  <c r="R591" i="12" s="1"/>
  <c r="AA585" i="12"/>
  <c r="AB90" i="12"/>
  <c r="B96" i="12"/>
  <c r="M283" i="12"/>
  <c r="O283" i="12"/>
  <c r="Q515" i="12"/>
  <c r="R515" i="12" s="1"/>
  <c r="AA509" i="12"/>
  <c r="Q819" i="12"/>
  <c r="R819" i="12" s="1"/>
  <c r="AA813" i="12"/>
  <c r="Y397" i="12"/>
  <c r="W397" i="12"/>
  <c r="W586" i="12"/>
  <c r="Y586" i="12"/>
  <c r="Y814" i="12"/>
  <c r="W814" i="12"/>
  <c r="B134" i="12"/>
  <c r="AB128" i="12"/>
  <c r="AB281" i="12"/>
  <c r="B287" i="12"/>
  <c r="R700" i="12"/>
  <c r="T700" i="12"/>
  <c r="O638" i="12"/>
  <c r="P638" i="12" s="1"/>
  <c r="L633" i="12"/>
  <c r="O641" i="12"/>
  <c r="P641" i="12" s="1"/>
  <c r="O640" i="12"/>
  <c r="P640" i="12" s="1"/>
  <c r="L632" i="12"/>
  <c r="O639" i="12"/>
  <c r="P639" i="12" s="1"/>
  <c r="L630" i="12"/>
  <c r="O642" i="12"/>
  <c r="P642" i="12" s="1"/>
  <c r="L629" i="12"/>
  <c r="L631" i="12"/>
  <c r="M586" i="12"/>
  <c r="O586" i="12"/>
  <c r="U890" i="12"/>
  <c r="L206" i="12"/>
  <c r="N205" i="12"/>
  <c r="P205" i="12" s="1"/>
  <c r="O603" i="12"/>
  <c r="P603" i="12" s="1"/>
  <c r="O601" i="12"/>
  <c r="P601" i="12" s="1"/>
  <c r="O600" i="12"/>
  <c r="P600" i="12" s="1"/>
  <c r="O604" i="12"/>
  <c r="P604" i="12" s="1"/>
  <c r="L593" i="12"/>
  <c r="L592" i="12"/>
  <c r="L591" i="12"/>
  <c r="L594" i="12"/>
  <c r="O602" i="12"/>
  <c r="P602" i="12" s="1"/>
  <c r="L595" i="12"/>
  <c r="T396" i="12"/>
  <c r="R396" i="12"/>
  <c r="H358" i="12"/>
  <c r="J358" i="12"/>
  <c r="H527" i="12"/>
  <c r="V777" i="12"/>
  <c r="X776" i="12"/>
  <c r="Q287" i="12"/>
  <c r="R287" i="12" s="1"/>
  <c r="P108" i="12"/>
  <c r="B477" i="12"/>
  <c r="AB471" i="12"/>
  <c r="B554" i="12"/>
  <c r="L905" i="12"/>
  <c r="H222" i="12"/>
  <c r="V359" i="12"/>
  <c r="X358" i="12"/>
  <c r="Z358" i="12" s="1"/>
  <c r="O143" i="12"/>
  <c r="P143" i="12" s="1"/>
  <c r="L138" i="12"/>
  <c r="O147" i="12"/>
  <c r="P147" i="12" s="1"/>
  <c r="L136" i="12"/>
  <c r="L134" i="12"/>
  <c r="O146" i="12"/>
  <c r="P146" i="12" s="1"/>
  <c r="O145" i="12"/>
  <c r="P145" i="12" s="1"/>
  <c r="L137" i="12"/>
  <c r="O144" i="12"/>
  <c r="P144" i="12" s="1"/>
  <c r="L135" i="12"/>
  <c r="I440" i="12"/>
  <c r="I439" i="12"/>
  <c r="K451" i="12"/>
  <c r="L451" i="12" s="1"/>
  <c r="K450" i="12"/>
  <c r="L450" i="12" s="1"/>
  <c r="I442" i="12"/>
  <c r="K449" i="12"/>
  <c r="L449" i="12" s="1"/>
  <c r="AC436" i="12"/>
  <c r="I441" i="12"/>
  <c r="K448" i="12"/>
  <c r="L448" i="12" s="1"/>
  <c r="H489" i="12"/>
  <c r="H510" i="12"/>
  <c r="J510" i="12"/>
  <c r="F668" i="12"/>
  <c r="F667" i="12"/>
  <c r="G676" i="12"/>
  <c r="H676" i="12" s="1"/>
  <c r="G678" i="12"/>
  <c r="H678" i="12" s="1"/>
  <c r="F669" i="12"/>
  <c r="G677" i="12"/>
  <c r="H677" i="12" s="1"/>
  <c r="AC663" i="12"/>
  <c r="O890" i="12"/>
  <c r="M890" i="12"/>
  <c r="H869" i="12"/>
  <c r="G891" i="12"/>
  <c r="I890" i="12"/>
  <c r="L867" i="12"/>
  <c r="L414" i="12"/>
  <c r="N53" i="12"/>
  <c r="P53" i="12" s="1"/>
  <c r="L54" i="12"/>
  <c r="I320" i="12"/>
  <c r="G321" i="12"/>
  <c r="O510" i="12"/>
  <c r="M510" i="12"/>
  <c r="H717" i="12"/>
  <c r="W738" i="12"/>
  <c r="Y738" i="12"/>
  <c r="AA699" i="12"/>
  <c r="V891" i="12"/>
  <c r="X890" i="12"/>
  <c r="Z890" i="12" s="1"/>
  <c r="P867" i="12"/>
  <c r="S434" i="12"/>
  <c r="U434" i="12" s="1"/>
  <c r="Q435" i="12"/>
  <c r="P548" i="12"/>
  <c r="AA548" i="12" s="1"/>
  <c r="W54" i="12"/>
  <c r="Y54" i="12"/>
  <c r="R130" i="12"/>
  <c r="T130" i="12"/>
  <c r="K184" i="12"/>
  <c r="L184" i="12" s="1"/>
  <c r="I175" i="12"/>
  <c r="K183" i="12"/>
  <c r="L183" i="12" s="1"/>
  <c r="K182" i="12"/>
  <c r="L182" i="12" s="1"/>
  <c r="I173" i="12"/>
  <c r="I174" i="12"/>
  <c r="I172" i="12"/>
  <c r="K181" i="12"/>
  <c r="L181" i="12" s="1"/>
  <c r="AC169" i="12"/>
  <c r="J243" i="12"/>
  <c r="H243" i="12"/>
  <c r="J53" i="12"/>
  <c r="H53" i="12"/>
  <c r="X205" i="12"/>
  <c r="Z205" i="12" s="1"/>
  <c r="V206" i="12"/>
  <c r="L300" i="12"/>
  <c r="H260" i="12"/>
  <c r="G435" i="12"/>
  <c r="I434" i="12"/>
  <c r="K434" i="12" s="1"/>
  <c r="T282" i="12"/>
  <c r="R282" i="12"/>
  <c r="S549" i="12"/>
  <c r="Q550" i="12"/>
  <c r="Q667" i="12"/>
  <c r="R667" i="12" s="1"/>
  <c r="AA661" i="12"/>
  <c r="L701" i="12"/>
  <c r="N700" i="12"/>
  <c r="N776" i="12"/>
  <c r="L777" i="12"/>
  <c r="S890" i="12"/>
  <c r="Q891" i="12"/>
  <c r="H32" i="12"/>
  <c r="O375" i="12"/>
  <c r="P375" i="12" s="1"/>
  <c r="O373" i="12"/>
  <c r="P373" i="12" s="1"/>
  <c r="O372" i="12"/>
  <c r="P372" i="12" s="1"/>
  <c r="L363" i="12"/>
  <c r="O376" i="12"/>
  <c r="P376" i="12" s="1"/>
  <c r="O374" i="12"/>
  <c r="P374" i="12" s="1"/>
  <c r="L366" i="12"/>
  <c r="L365" i="12"/>
  <c r="L367" i="12"/>
  <c r="L364" i="12"/>
  <c r="M91" i="12"/>
  <c r="O91" i="12"/>
  <c r="H70" i="12"/>
  <c r="Y321" i="12"/>
  <c r="W321" i="12"/>
  <c r="L600" i="12"/>
  <c r="V473" i="12"/>
  <c r="X472" i="12"/>
  <c r="AA395" i="12"/>
  <c r="J549" i="12"/>
  <c r="H549" i="12"/>
  <c r="P410" i="12"/>
  <c r="P109" i="12"/>
  <c r="L486" i="12"/>
  <c r="G16" i="12"/>
  <c r="I15" i="12"/>
  <c r="AB14" i="12"/>
  <c r="B20" i="12"/>
  <c r="V625" i="12"/>
  <c r="X624" i="12"/>
  <c r="H738" i="12"/>
  <c r="J738" i="12"/>
  <c r="N243" i="12"/>
  <c r="L244" i="12"/>
  <c r="J130" i="12"/>
  <c r="H130" i="12"/>
  <c r="Q473" i="12"/>
  <c r="S472" i="12"/>
  <c r="U472" i="12" s="1"/>
  <c r="U549" i="12"/>
  <c r="W700" i="12"/>
  <c r="Y700" i="12"/>
  <c r="R244" i="12"/>
  <c r="T244" i="12"/>
  <c r="O16" i="12"/>
  <c r="M16" i="12"/>
  <c r="Q359" i="12"/>
  <c r="S358" i="12"/>
  <c r="T205" i="12"/>
  <c r="R205" i="12"/>
  <c r="O335" i="12"/>
  <c r="P335" i="12" s="1"/>
  <c r="L326" i="12"/>
  <c r="O338" i="12"/>
  <c r="P338" i="12" s="1"/>
  <c r="L327" i="12"/>
  <c r="L325" i="12"/>
  <c r="O334" i="12"/>
  <c r="P334" i="12" s="1"/>
  <c r="L329" i="12"/>
  <c r="O337" i="12"/>
  <c r="P337" i="12" s="1"/>
  <c r="L328" i="12"/>
  <c r="O336" i="12"/>
  <c r="P336" i="12" s="1"/>
  <c r="J397" i="12"/>
  <c r="H397" i="12"/>
  <c r="M738" i="12"/>
  <c r="O738" i="12"/>
  <c r="W434" i="12"/>
  <c r="Y434" i="12"/>
  <c r="G829" i="12"/>
  <c r="H829" i="12" s="1"/>
  <c r="G828" i="12"/>
  <c r="H828" i="12" s="1"/>
  <c r="F819" i="12"/>
  <c r="G830" i="12"/>
  <c r="H830" i="12" s="1"/>
  <c r="F821" i="12"/>
  <c r="F820" i="12"/>
  <c r="AC815" i="12"/>
  <c r="R777" i="12"/>
  <c r="T777" i="12"/>
  <c r="K890" i="12"/>
  <c r="L868" i="12"/>
  <c r="D678" i="12"/>
  <c r="R625" i="12"/>
  <c r="T625" i="12"/>
  <c r="Y852" i="12"/>
  <c r="W852" i="12"/>
  <c r="T167" i="12"/>
  <c r="R167" i="12"/>
  <c r="H205" i="12"/>
  <c r="J205" i="12"/>
  <c r="K320" i="12"/>
  <c r="M472" i="12"/>
  <c r="O472" i="12"/>
  <c r="K717" i="12"/>
  <c r="K715" i="12"/>
  <c r="L715" i="12" s="1"/>
  <c r="K714" i="12"/>
  <c r="L714" i="12" s="1"/>
  <c r="I705" i="12"/>
  <c r="I708" i="12"/>
  <c r="AC702" i="12"/>
  <c r="I706" i="12"/>
  <c r="I707" i="12"/>
  <c r="K716" i="12"/>
  <c r="L716" i="12" s="1"/>
  <c r="J852" i="12"/>
  <c r="H852" i="12"/>
  <c r="P868" i="12"/>
  <c r="P869" i="12"/>
  <c r="D754" i="12"/>
  <c r="N548" i="12"/>
  <c r="L549" i="12"/>
  <c r="Q54" i="12"/>
  <c r="S53" i="12"/>
  <c r="U53" i="12" s="1"/>
  <c r="AA52" i="12"/>
  <c r="Q58" i="12"/>
  <c r="R58" i="12" s="1"/>
  <c r="Q172" i="12"/>
  <c r="R172" i="12" s="1"/>
  <c r="AA166" i="12"/>
  <c r="K260" i="12"/>
  <c r="L260" i="12" s="1"/>
  <c r="K258" i="12"/>
  <c r="L258" i="12" s="1"/>
  <c r="K257" i="12"/>
  <c r="L257" i="12" s="1"/>
  <c r="I248" i="12"/>
  <c r="K259" i="12"/>
  <c r="L259" i="12" s="1"/>
  <c r="I251" i="12"/>
  <c r="I250" i="12"/>
  <c r="I249" i="12"/>
  <c r="AC245" i="12"/>
  <c r="Y511" i="12"/>
  <c r="W511" i="12"/>
  <c r="J662" i="12"/>
  <c r="H662" i="12"/>
  <c r="P700" i="12"/>
  <c r="P776" i="12"/>
  <c r="H92" i="12"/>
  <c r="J92" i="12"/>
  <c r="I23" i="12"/>
  <c r="I21" i="12"/>
  <c r="I20" i="12"/>
  <c r="K32" i="12"/>
  <c r="L32" i="12" s="1"/>
  <c r="K30" i="12"/>
  <c r="L30" i="12" s="1"/>
  <c r="K29" i="12"/>
  <c r="L29" i="12" s="1"/>
  <c r="K31" i="12"/>
  <c r="L31" i="12" s="1"/>
  <c r="I22" i="12"/>
  <c r="AC17" i="12"/>
  <c r="X15" i="12"/>
  <c r="V16" i="12"/>
  <c r="L359" i="12"/>
  <c r="N358" i="12"/>
  <c r="P358" i="12" s="1"/>
  <c r="K70" i="12"/>
  <c r="L70" i="12" s="1"/>
  <c r="K68" i="12"/>
  <c r="L68" i="12" s="1"/>
  <c r="K67" i="12"/>
  <c r="L67" i="12" s="1"/>
  <c r="I61" i="12"/>
  <c r="I58" i="12"/>
  <c r="I60" i="12"/>
  <c r="I59" i="12"/>
  <c r="AC55" i="12"/>
  <c r="K69" i="12"/>
  <c r="L69" i="12" s="1"/>
  <c r="N129" i="12"/>
  <c r="P129" i="12" s="1"/>
  <c r="L130" i="12"/>
  <c r="Z472" i="12"/>
  <c r="K565" i="12"/>
  <c r="L565" i="12" s="1"/>
  <c r="K563" i="12"/>
  <c r="K562" i="12"/>
  <c r="L562" i="12" s="1"/>
  <c r="I555" i="12"/>
  <c r="I554" i="12"/>
  <c r="I553" i="12"/>
  <c r="AC550" i="12"/>
  <c r="I556" i="12"/>
  <c r="K564" i="12"/>
  <c r="L564" i="12" s="1"/>
  <c r="V550" i="12"/>
  <c r="X549" i="12"/>
  <c r="M814" i="12"/>
  <c r="O814" i="12"/>
  <c r="P412" i="12"/>
  <c r="P414" i="12"/>
  <c r="B629" i="12"/>
  <c r="AB623" i="12"/>
  <c r="P105" i="12"/>
  <c r="B325" i="12"/>
  <c r="AB319" i="12"/>
  <c r="L487" i="12"/>
  <c r="Q439" i="12"/>
  <c r="R439" i="12" s="1"/>
  <c r="K752" i="12"/>
  <c r="L752" i="12" s="1"/>
  <c r="K755" i="12"/>
  <c r="K754" i="12"/>
  <c r="L754" i="12" s="1"/>
  <c r="K753" i="12"/>
  <c r="L753" i="12" s="1"/>
  <c r="I744" i="12"/>
  <c r="I746" i="12"/>
  <c r="I745" i="12"/>
  <c r="I743" i="12"/>
  <c r="AC740" i="12"/>
  <c r="L906" i="12"/>
  <c r="T91" i="12"/>
  <c r="R91" i="12"/>
  <c r="I211" i="12"/>
  <c r="I210" i="12"/>
  <c r="K222" i="12"/>
  <c r="L222" i="12" s="1"/>
  <c r="K220" i="12"/>
  <c r="L220" i="12" s="1"/>
  <c r="K219" i="12"/>
  <c r="L219" i="12" s="1"/>
  <c r="K221" i="12"/>
  <c r="L221" i="12" s="1"/>
  <c r="I213" i="12"/>
  <c r="AC207" i="12"/>
  <c r="I212" i="12"/>
  <c r="W283" i="12"/>
  <c r="Y283" i="12"/>
  <c r="R662" i="12"/>
  <c r="T662" i="12"/>
  <c r="Q248" i="12"/>
  <c r="R248" i="12" s="1"/>
  <c r="AA242" i="12"/>
  <c r="M662" i="12"/>
  <c r="O662" i="12"/>
  <c r="K776" i="12"/>
  <c r="T738" i="12"/>
  <c r="R738" i="12"/>
  <c r="T15" i="12"/>
  <c r="R15" i="12"/>
  <c r="N320" i="12"/>
  <c r="P320" i="12" s="1"/>
  <c r="L321" i="12"/>
  <c r="L397" i="12"/>
  <c r="N396" i="12"/>
  <c r="K15" i="12"/>
  <c r="U358" i="12"/>
  <c r="O167" i="12"/>
  <c r="M167" i="12"/>
  <c r="L146" i="12"/>
  <c r="L147" i="12" s="1"/>
  <c r="L338" i="12"/>
  <c r="H451" i="12"/>
  <c r="Z624" i="12"/>
  <c r="I517" i="12"/>
  <c r="K524" i="12"/>
  <c r="K527" i="12"/>
  <c r="K526" i="12"/>
  <c r="I518" i="12"/>
  <c r="I516" i="12"/>
  <c r="I515" i="12"/>
  <c r="K525" i="12"/>
  <c r="AC512" i="12"/>
  <c r="Y662" i="12"/>
  <c r="W662" i="12"/>
  <c r="Q743" i="12"/>
  <c r="R743" i="12" s="1"/>
  <c r="AA737" i="12"/>
  <c r="D830" i="12"/>
  <c r="J814" i="12"/>
  <c r="H814" i="12"/>
  <c r="H907" i="12"/>
  <c r="O790" i="12"/>
  <c r="P790" i="12" s="1"/>
  <c r="L785" i="12"/>
  <c r="O793" i="12"/>
  <c r="P793" i="12" s="1"/>
  <c r="O792" i="12"/>
  <c r="P792" i="12" s="1"/>
  <c r="L784" i="12"/>
  <c r="O791" i="12"/>
  <c r="P791" i="12" s="1"/>
  <c r="L782" i="12"/>
  <c r="L783" i="12"/>
  <c r="O794" i="12"/>
  <c r="P794" i="12" s="1"/>
  <c r="L781" i="12"/>
  <c r="L794" i="12"/>
  <c r="W91" i="12"/>
  <c r="Y91" i="12"/>
  <c r="R321" i="12"/>
  <c r="T321" i="12"/>
  <c r="P243" i="12"/>
  <c r="Q511" i="12"/>
  <c r="S510" i="12"/>
  <c r="U510" i="12" s="1"/>
  <c r="I472" i="12"/>
  <c r="K472" i="12" s="1"/>
  <c r="G473" i="12"/>
  <c r="G777" i="12"/>
  <c r="I776" i="12"/>
  <c r="G625" i="12"/>
  <c r="I624" i="12"/>
  <c r="K624" i="12" s="1"/>
  <c r="Q857" i="12"/>
  <c r="R857" i="12" s="1"/>
  <c r="AA851" i="12"/>
  <c r="P870" i="12"/>
  <c r="M852" i="12"/>
  <c r="O852" i="12"/>
  <c r="N624" i="12"/>
  <c r="P624" i="12" s="1"/>
  <c r="L625" i="12"/>
  <c r="R852" i="12"/>
  <c r="T852" i="12"/>
  <c r="V131" i="12"/>
  <c r="X130" i="12"/>
  <c r="Z130" i="12" s="1"/>
  <c r="H184" i="12"/>
  <c r="H167" i="12"/>
  <c r="J167" i="12"/>
  <c r="W167" i="12"/>
  <c r="Y167" i="12"/>
  <c r="Q210" i="12"/>
  <c r="R210" i="12" s="1"/>
  <c r="AA204" i="12"/>
  <c r="T586" i="12"/>
  <c r="R586" i="12"/>
  <c r="H586" i="12"/>
  <c r="J586" i="12"/>
  <c r="B781" i="12"/>
  <c r="AB775" i="12"/>
  <c r="R814" i="12"/>
  <c r="T814" i="12"/>
  <c r="V244" i="12"/>
  <c r="X243" i="12"/>
  <c r="Z243" i="12" s="1"/>
  <c r="L376" i="12"/>
  <c r="Z15" i="12"/>
  <c r="P396" i="12"/>
  <c r="G283" i="12"/>
  <c r="I282" i="12"/>
  <c r="K282" i="12" s="1"/>
  <c r="L435" i="12"/>
  <c r="N434" i="12"/>
  <c r="P434" i="12" s="1"/>
  <c r="L603" i="12"/>
  <c r="Q363" i="12"/>
  <c r="R363" i="12" s="1"/>
  <c r="AA357" i="12"/>
  <c r="G701" i="12"/>
  <c r="I700" i="12"/>
  <c r="K700" i="12" s="1"/>
  <c r="Z549" i="12"/>
  <c r="Z776" i="12"/>
  <c r="P106" i="12"/>
  <c r="L481" i="12"/>
  <c r="L478" i="12"/>
  <c r="L477" i="12"/>
  <c r="O490" i="12"/>
  <c r="P490" i="12" s="1"/>
  <c r="O486" i="12"/>
  <c r="P486" i="12" s="1"/>
  <c r="O489" i="12"/>
  <c r="P489" i="12" s="1"/>
  <c r="O488" i="12"/>
  <c r="P488" i="12" s="1"/>
  <c r="L479" i="12"/>
  <c r="L480" i="12"/>
  <c r="O487" i="12"/>
  <c r="P487" i="12" s="1"/>
  <c r="H755" i="12"/>
  <c r="O908" i="12"/>
  <c r="P908" i="12" s="1"/>
  <c r="O906" i="12"/>
  <c r="P906" i="12" s="1"/>
  <c r="L898" i="12"/>
  <c r="L897" i="12"/>
  <c r="L899" i="12"/>
  <c r="L896" i="12"/>
  <c r="L895" i="12"/>
  <c r="O905" i="12"/>
  <c r="P905" i="12" s="1"/>
  <c r="O907" i="12"/>
  <c r="P907" i="12" s="1"/>
  <c r="O904" i="12"/>
  <c r="P904" i="12" s="1"/>
  <c r="L904" i="12"/>
  <c r="B895" i="13"/>
  <c r="AB889" i="13"/>
  <c r="J891" i="13"/>
  <c r="H891" i="13"/>
  <c r="X890" i="13"/>
  <c r="Z890" i="13" s="1"/>
  <c r="V891" i="13"/>
  <c r="S890" i="13"/>
  <c r="U890" i="13" s="1"/>
  <c r="Q891" i="13"/>
  <c r="Q895" i="13"/>
  <c r="R895" i="13" s="1"/>
  <c r="G906" i="13"/>
  <c r="H906" i="13" s="1"/>
  <c r="F897" i="13"/>
  <c r="G904" i="13"/>
  <c r="H904" i="13" s="1"/>
  <c r="F896" i="13"/>
  <c r="F895" i="13"/>
  <c r="G905" i="13"/>
  <c r="H905" i="13" s="1"/>
  <c r="AC891" i="13"/>
  <c r="O890" i="13"/>
  <c r="M890" i="13"/>
  <c r="W853" i="13"/>
  <c r="Y853" i="13"/>
  <c r="N852" i="13"/>
  <c r="L853" i="13"/>
  <c r="J852" i="13"/>
  <c r="H852" i="13"/>
  <c r="P852" i="13"/>
  <c r="H869" i="13"/>
  <c r="K869" i="13"/>
  <c r="K867" i="13"/>
  <c r="L867" i="13" s="1"/>
  <c r="K866" i="13"/>
  <c r="L866" i="13" s="1"/>
  <c r="I858" i="13"/>
  <c r="I857" i="13"/>
  <c r="K868" i="13"/>
  <c r="L868" i="13" s="1"/>
  <c r="I860" i="13"/>
  <c r="I859" i="13"/>
  <c r="AC854" i="13"/>
  <c r="Q853" i="13"/>
  <c r="S852" i="13"/>
  <c r="U852" i="13" s="1"/>
  <c r="Q857" i="13"/>
  <c r="R857" i="13" s="1"/>
  <c r="AA851" i="13"/>
  <c r="Q815" i="13"/>
  <c r="S814" i="13"/>
  <c r="Y815" i="13"/>
  <c r="W815" i="13"/>
  <c r="P814" i="13"/>
  <c r="J814" i="13"/>
  <c r="H814" i="13"/>
  <c r="N814" i="13"/>
  <c r="L815" i="13"/>
  <c r="AA813" i="13"/>
  <c r="Q819" i="13"/>
  <c r="R819" i="13" s="1"/>
  <c r="K831" i="13"/>
  <c r="K829" i="13"/>
  <c r="L829" i="13" s="1"/>
  <c r="K828" i="13"/>
  <c r="L828" i="13" s="1"/>
  <c r="K830" i="13"/>
  <c r="L830" i="13" s="1"/>
  <c r="I822" i="13"/>
  <c r="I821" i="13"/>
  <c r="AC816" i="13"/>
  <c r="I820" i="13"/>
  <c r="I819" i="13"/>
  <c r="U814" i="13"/>
  <c r="H831" i="13"/>
  <c r="H793" i="13"/>
  <c r="Q777" i="13"/>
  <c r="S776" i="13"/>
  <c r="U776" i="13" s="1"/>
  <c r="J776" i="13"/>
  <c r="H776" i="13"/>
  <c r="K793" i="13"/>
  <c r="K791" i="13"/>
  <c r="L791" i="13" s="1"/>
  <c r="K790" i="13"/>
  <c r="L790" i="13" s="1"/>
  <c r="K792" i="13"/>
  <c r="L792" i="13" s="1"/>
  <c r="I784" i="13"/>
  <c r="I783" i="13"/>
  <c r="I782" i="13"/>
  <c r="I781" i="13"/>
  <c r="AC778" i="13"/>
  <c r="Q781" i="13"/>
  <c r="R781" i="13" s="1"/>
  <c r="AA775" i="13"/>
  <c r="Y776" i="13"/>
  <c r="W776" i="13"/>
  <c r="D792" i="13"/>
  <c r="M776" i="13"/>
  <c r="O776" i="13"/>
  <c r="Y739" i="13"/>
  <c r="W739" i="13"/>
  <c r="H755" i="13"/>
  <c r="N738" i="13"/>
  <c r="P738" i="13" s="1"/>
  <c r="L739" i="13"/>
  <c r="J738" i="13"/>
  <c r="H738" i="13"/>
  <c r="Q739" i="13"/>
  <c r="S738" i="13"/>
  <c r="U738" i="13" s="1"/>
  <c r="AA737" i="13"/>
  <c r="Q743" i="13"/>
  <c r="R743" i="13" s="1"/>
  <c r="K755" i="13"/>
  <c r="K753" i="13"/>
  <c r="L753" i="13" s="1"/>
  <c r="K752" i="13"/>
  <c r="L752" i="13" s="1"/>
  <c r="K754" i="13"/>
  <c r="L754" i="13" s="1"/>
  <c r="I746" i="13"/>
  <c r="I745" i="13"/>
  <c r="AC740" i="13"/>
  <c r="I744" i="13"/>
  <c r="I743" i="13"/>
  <c r="AA699" i="13"/>
  <c r="AB699" i="13" s="1"/>
  <c r="H701" i="13"/>
  <c r="J701" i="13"/>
  <c r="G716" i="13"/>
  <c r="H716" i="13" s="1"/>
  <c r="F707" i="13"/>
  <c r="G715" i="13"/>
  <c r="H715" i="13" s="1"/>
  <c r="G714" i="13"/>
  <c r="H714" i="13" s="1"/>
  <c r="F706" i="13"/>
  <c r="F705" i="13"/>
  <c r="AC701" i="13"/>
  <c r="O700" i="13"/>
  <c r="M700" i="13"/>
  <c r="Q705" i="13"/>
  <c r="R705" i="13" s="1"/>
  <c r="S700" i="13"/>
  <c r="U700" i="13" s="1"/>
  <c r="Q701" i="13"/>
  <c r="X700" i="13"/>
  <c r="Z700" i="13" s="1"/>
  <c r="V701" i="13"/>
  <c r="AB661" i="13"/>
  <c r="B667" i="13"/>
  <c r="O662" i="13"/>
  <c r="M662" i="13"/>
  <c r="U662" i="13"/>
  <c r="J663" i="13"/>
  <c r="H663" i="13"/>
  <c r="H679" i="13"/>
  <c r="Q667" i="13"/>
  <c r="R667" i="13" s="1"/>
  <c r="V663" i="13"/>
  <c r="X662" i="13"/>
  <c r="S662" i="13"/>
  <c r="Q663" i="13"/>
  <c r="Z662" i="13"/>
  <c r="I668" i="13"/>
  <c r="I667" i="13"/>
  <c r="I670" i="13"/>
  <c r="AC664" i="13"/>
  <c r="K679" i="13"/>
  <c r="L679" i="13" s="1"/>
  <c r="K677" i="13"/>
  <c r="L677" i="13" s="1"/>
  <c r="K676" i="13"/>
  <c r="L676" i="13" s="1"/>
  <c r="K678" i="13"/>
  <c r="L678" i="13" s="1"/>
  <c r="I669" i="13"/>
  <c r="W625" i="13"/>
  <c r="Y625" i="13"/>
  <c r="S625" i="13"/>
  <c r="U625" i="13" s="1"/>
  <c r="Q626" i="13"/>
  <c r="I630" i="13"/>
  <c r="I629" i="13"/>
  <c r="K641" i="13"/>
  <c r="K639" i="13"/>
  <c r="L639" i="13" s="1"/>
  <c r="K638" i="13"/>
  <c r="L638" i="13" s="1"/>
  <c r="K640" i="13"/>
  <c r="I632" i="13"/>
  <c r="I631" i="13"/>
  <c r="AC626" i="13"/>
  <c r="O624" i="13"/>
  <c r="M624" i="13"/>
  <c r="B629" i="13"/>
  <c r="AB623" i="13"/>
  <c r="J626" i="13"/>
  <c r="H626" i="13"/>
  <c r="I626" i="13" s="1"/>
  <c r="AA585" i="13"/>
  <c r="Q591" i="13"/>
  <c r="R591" i="13" s="1"/>
  <c r="K586" i="13"/>
  <c r="W587" i="13"/>
  <c r="Y587" i="13"/>
  <c r="O586" i="13"/>
  <c r="M586" i="13"/>
  <c r="S586" i="13"/>
  <c r="U586" i="13" s="1"/>
  <c r="Q587" i="13"/>
  <c r="I592" i="13"/>
  <c r="I591" i="13"/>
  <c r="K603" i="13"/>
  <c r="K601" i="13"/>
  <c r="L601" i="13" s="1"/>
  <c r="K600" i="13"/>
  <c r="L600" i="13" s="1"/>
  <c r="K602" i="13"/>
  <c r="I594" i="13"/>
  <c r="I593" i="13"/>
  <c r="AC588" i="13"/>
  <c r="G587" i="13"/>
  <c r="I586" i="13"/>
  <c r="H565" i="13"/>
  <c r="AC550" i="13"/>
  <c r="L555" i="13" s="1"/>
  <c r="I555" i="13"/>
  <c r="K562" i="13"/>
  <c r="L562" i="13" s="1"/>
  <c r="I556" i="13"/>
  <c r="K565" i="13"/>
  <c r="K564" i="13"/>
  <c r="B553" i="13"/>
  <c r="AB547" i="13"/>
  <c r="Q553" i="13"/>
  <c r="R553" i="13" s="1"/>
  <c r="O548" i="13"/>
  <c r="M548" i="13"/>
  <c r="L556" i="13"/>
  <c r="O562" i="13"/>
  <c r="J550" i="13"/>
  <c r="H550" i="13"/>
  <c r="I550" i="13" s="1"/>
  <c r="S548" i="13"/>
  <c r="U548" i="13" s="1"/>
  <c r="Q549" i="13"/>
  <c r="K527" i="13"/>
  <c r="L527" i="13" s="1"/>
  <c r="K525" i="13"/>
  <c r="L525" i="13" s="1"/>
  <c r="K524" i="13"/>
  <c r="L524" i="13" s="1"/>
  <c r="K526" i="13"/>
  <c r="L526" i="13" s="1"/>
  <c r="I518" i="13"/>
  <c r="I517" i="13"/>
  <c r="AC512" i="13"/>
  <c r="I516" i="13"/>
  <c r="I515" i="13"/>
  <c r="Y511" i="13"/>
  <c r="W511" i="13"/>
  <c r="Q511" i="13"/>
  <c r="S510" i="13"/>
  <c r="U510" i="13" s="1"/>
  <c r="AA509" i="13"/>
  <c r="Q515" i="13"/>
  <c r="R515" i="13" s="1"/>
  <c r="N510" i="13"/>
  <c r="P510" i="13" s="1"/>
  <c r="L511" i="13"/>
  <c r="J510" i="13"/>
  <c r="H510" i="13"/>
  <c r="L473" i="13"/>
  <c r="N472" i="13"/>
  <c r="P472" i="13" s="1"/>
  <c r="Q477" i="13"/>
  <c r="R477" i="13" s="1"/>
  <c r="AA471" i="13"/>
  <c r="H489" i="13"/>
  <c r="H472" i="13"/>
  <c r="J472" i="13"/>
  <c r="K488" i="13"/>
  <c r="L488" i="13" s="1"/>
  <c r="I480" i="13"/>
  <c r="I479" i="13"/>
  <c r="I478" i="13"/>
  <c r="I477" i="13"/>
  <c r="K487" i="13"/>
  <c r="L487" i="13" s="1"/>
  <c r="K489" i="13"/>
  <c r="L489" i="13" s="1"/>
  <c r="K486" i="13"/>
  <c r="L486" i="13" s="1"/>
  <c r="AC474" i="13"/>
  <c r="Z472" i="13"/>
  <c r="T472" i="13"/>
  <c r="R472" i="13"/>
  <c r="X472" i="13"/>
  <c r="V473" i="13"/>
  <c r="H337" i="13"/>
  <c r="H451" i="13"/>
  <c r="B439" i="13"/>
  <c r="AB433" i="13"/>
  <c r="S434" i="13"/>
  <c r="U434" i="13" s="1"/>
  <c r="Q435" i="13"/>
  <c r="O434" i="13"/>
  <c r="M434" i="13"/>
  <c r="Q439" i="13"/>
  <c r="R439" i="13" s="1"/>
  <c r="V435" i="13"/>
  <c r="X434" i="13"/>
  <c r="Z434" i="13" s="1"/>
  <c r="I440" i="13"/>
  <c r="I439" i="13"/>
  <c r="K450" i="13"/>
  <c r="L450" i="13" s="1"/>
  <c r="AC436" i="13"/>
  <c r="K451" i="13"/>
  <c r="L451" i="13" s="1"/>
  <c r="K449" i="13"/>
  <c r="L449" i="13" s="1"/>
  <c r="K448" i="13"/>
  <c r="L448" i="13" s="1"/>
  <c r="I442" i="13"/>
  <c r="I441" i="13"/>
  <c r="J435" i="13"/>
  <c r="H435" i="13"/>
  <c r="H413" i="13"/>
  <c r="W397" i="13"/>
  <c r="Y397" i="13"/>
  <c r="O396" i="13"/>
  <c r="M396" i="13"/>
  <c r="B401" i="13"/>
  <c r="AB395" i="13"/>
  <c r="S397" i="13"/>
  <c r="U397" i="13" s="1"/>
  <c r="Q398" i="13"/>
  <c r="I402" i="13"/>
  <c r="I401" i="13"/>
  <c r="K413" i="13"/>
  <c r="L413" i="13" s="1"/>
  <c r="K411" i="13"/>
  <c r="L411" i="13" s="1"/>
  <c r="K410" i="13"/>
  <c r="L410" i="13" s="1"/>
  <c r="K412" i="13"/>
  <c r="L412" i="13" s="1"/>
  <c r="I404" i="13"/>
  <c r="I403" i="13"/>
  <c r="AC398" i="13"/>
  <c r="J398" i="13"/>
  <c r="H398" i="13"/>
  <c r="I398" i="13" s="1"/>
  <c r="P372" i="13"/>
  <c r="P376" i="13"/>
  <c r="M358" i="13"/>
  <c r="O358" i="13"/>
  <c r="I358" i="13"/>
  <c r="K358" i="13" s="1"/>
  <c r="G359" i="13"/>
  <c r="T358" i="13"/>
  <c r="R358" i="13"/>
  <c r="Y358" i="13"/>
  <c r="W358" i="13"/>
  <c r="AB357" i="13"/>
  <c r="B363" i="13"/>
  <c r="P373" i="13"/>
  <c r="L376" i="13"/>
  <c r="P374" i="13"/>
  <c r="P375" i="13"/>
  <c r="B325" i="13"/>
  <c r="AB319" i="13"/>
  <c r="S320" i="13"/>
  <c r="U320" i="13" s="1"/>
  <c r="Q321" i="13"/>
  <c r="O320" i="13"/>
  <c r="M320" i="13"/>
  <c r="J321" i="13"/>
  <c r="H321" i="13"/>
  <c r="I326" i="13"/>
  <c r="I325" i="13"/>
  <c r="K337" i="13"/>
  <c r="L337" i="13" s="1"/>
  <c r="K335" i="13"/>
  <c r="K334" i="13"/>
  <c r="K336" i="13"/>
  <c r="L336" i="13" s="1"/>
  <c r="I328" i="13"/>
  <c r="I327" i="13"/>
  <c r="AC322" i="13"/>
  <c r="W321" i="13"/>
  <c r="Y321" i="13"/>
  <c r="P299" i="13"/>
  <c r="P300" i="13"/>
  <c r="Q287" i="13"/>
  <c r="R287" i="13" s="1"/>
  <c r="AA281" i="13"/>
  <c r="H282" i="13"/>
  <c r="J282" i="13"/>
  <c r="X282" i="13"/>
  <c r="Z282" i="13" s="1"/>
  <c r="V283" i="13"/>
  <c r="H299" i="13"/>
  <c r="T282" i="13"/>
  <c r="R282" i="13"/>
  <c r="O282" i="13"/>
  <c r="M282" i="13"/>
  <c r="P296" i="13"/>
  <c r="Z205" i="13"/>
  <c r="Z52" i="13"/>
  <c r="X14" i="13"/>
  <c r="Z14" i="13" s="1"/>
  <c r="Q15" i="13"/>
  <c r="R15" i="13" s="1"/>
  <c r="L53" i="13"/>
  <c r="M53" i="13" s="1"/>
  <c r="G182" i="13"/>
  <c r="H182" i="13" s="1"/>
  <c r="H184" i="13" s="1"/>
  <c r="AC93" i="13"/>
  <c r="K105" i="13"/>
  <c r="D31" i="13"/>
  <c r="U244" i="13"/>
  <c r="Z204" i="13"/>
  <c r="C211" i="13"/>
  <c r="H243" i="13"/>
  <c r="I243" i="13" s="1"/>
  <c r="K243" i="13" s="1"/>
  <c r="Q245" i="13"/>
  <c r="S244" i="13"/>
  <c r="S204" i="13"/>
  <c r="U204" i="13" s="1"/>
  <c r="Q205" i="13"/>
  <c r="Q53" i="13"/>
  <c r="S52" i="13"/>
  <c r="U52" i="13" s="1"/>
  <c r="I14" i="13"/>
  <c r="K14" i="13" s="1"/>
  <c r="L129" i="13"/>
  <c r="M129" i="13" s="1"/>
  <c r="V244" i="13"/>
  <c r="X243" i="13"/>
  <c r="Z243" i="13" s="1"/>
  <c r="B248" i="13"/>
  <c r="AB242" i="13"/>
  <c r="H260" i="13"/>
  <c r="K260" i="13"/>
  <c r="L260" i="13" s="1"/>
  <c r="K258" i="13"/>
  <c r="L258" i="13" s="1"/>
  <c r="K257" i="13"/>
  <c r="L257" i="13" s="1"/>
  <c r="K259" i="13"/>
  <c r="L259" i="13" s="1"/>
  <c r="I251" i="13"/>
  <c r="I250" i="13"/>
  <c r="AC245" i="13"/>
  <c r="I249" i="13"/>
  <c r="I248" i="13"/>
  <c r="N243" i="13"/>
  <c r="P243" i="13" s="1"/>
  <c r="L244" i="13"/>
  <c r="V207" i="13"/>
  <c r="X206" i="13"/>
  <c r="Z206" i="13" s="1"/>
  <c r="G207" i="13"/>
  <c r="I206" i="13"/>
  <c r="K206" i="13" s="1"/>
  <c r="G221" i="13"/>
  <c r="H221" i="13" s="1"/>
  <c r="F212" i="13"/>
  <c r="F210" i="13"/>
  <c r="F211" i="13"/>
  <c r="G220" i="13"/>
  <c r="H220" i="13" s="1"/>
  <c r="G219" i="13"/>
  <c r="H219" i="13" s="1"/>
  <c r="AC206" i="13"/>
  <c r="D221" i="13"/>
  <c r="N204" i="13"/>
  <c r="P204" i="13" s="1"/>
  <c r="Q210" i="13" s="1"/>
  <c r="R210" i="13" s="1"/>
  <c r="L205" i="13"/>
  <c r="L176" i="13"/>
  <c r="L173" i="13"/>
  <c r="L172" i="13"/>
  <c r="O185" i="13"/>
  <c r="O183" i="13"/>
  <c r="L175" i="13"/>
  <c r="L174" i="13"/>
  <c r="O184" i="13"/>
  <c r="O182" i="13"/>
  <c r="O181" i="13"/>
  <c r="I166" i="13"/>
  <c r="K166" i="13" s="1"/>
  <c r="G167" i="13"/>
  <c r="D183" i="13"/>
  <c r="T167" i="13"/>
  <c r="R167" i="13"/>
  <c r="K183" i="13"/>
  <c r="L183" i="13" s="1"/>
  <c r="I175" i="13"/>
  <c r="I174" i="13"/>
  <c r="I173" i="13"/>
  <c r="I172" i="13"/>
  <c r="K184" i="13"/>
  <c r="L184" i="13" s="1"/>
  <c r="K182" i="13"/>
  <c r="K181" i="13"/>
  <c r="L181" i="13" s="1"/>
  <c r="X166" i="13"/>
  <c r="Z166" i="13" s="1"/>
  <c r="V167" i="13"/>
  <c r="L168" i="13"/>
  <c r="N167" i="13"/>
  <c r="P167" i="13" s="1"/>
  <c r="R129" i="13"/>
  <c r="T129" i="13"/>
  <c r="I128" i="13"/>
  <c r="K128" i="13" s="1"/>
  <c r="G129" i="13"/>
  <c r="U128" i="13"/>
  <c r="V130" i="13"/>
  <c r="X129" i="13"/>
  <c r="Z129" i="13" s="1"/>
  <c r="F134" i="13"/>
  <c r="F135" i="13"/>
  <c r="AC130" i="13"/>
  <c r="G144" i="13"/>
  <c r="H144" i="13" s="1"/>
  <c r="G143" i="13"/>
  <c r="H143" i="13" s="1"/>
  <c r="G145" i="13"/>
  <c r="H145" i="13" s="1"/>
  <c r="F136" i="13"/>
  <c r="Q91" i="13"/>
  <c r="S90" i="13"/>
  <c r="U90" i="13" s="1"/>
  <c r="N90" i="13"/>
  <c r="P90" i="13" s="1"/>
  <c r="L91" i="13"/>
  <c r="X90" i="13"/>
  <c r="Z90" i="13" s="1"/>
  <c r="V91" i="13"/>
  <c r="H91" i="13"/>
  <c r="J91" i="13"/>
  <c r="D107" i="13"/>
  <c r="F97" i="13"/>
  <c r="F96" i="13"/>
  <c r="G107" i="13"/>
  <c r="H107" i="13" s="1"/>
  <c r="F98" i="13"/>
  <c r="G106" i="13"/>
  <c r="H106" i="13" s="1"/>
  <c r="G105" i="13"/>
  <c r="H105" i="13" s="1"/>
  <c r="L100" i="13"/>
  <c r="L97" i="13"/>
  <c r="L96" i="13"/>
  <c r="O109" i="13"/>
  <c r="O107" i="13"/>
  <c r="O108" i="13"/>
  <c r="O106" i="13"/>
  <c r="O105" i="13"/>
  <c r="L99" i="13"/>
  <c r="L98" i="13"/>
  <c r="K107" i="13"/>
  <c r="I99" i="13"/>
  <c r="I98" i="13"/>
  <c r="I97" i="13"/>
  <c r="I96" i="13"/>
  <c r="K108" i="13"/>
  <c r="K106" i="13"/>
  <c r="G69" i="13"/>
  <c r="H69" i="13" s="1"/>
  <c r="F60" i="13"/>
  <c r="F59" i="13"/>
  <c r="F58" i="13"/>
  <c r="AC54" i="13"/>
  <c r="G68" i="13"/>
  <c r="H68" i="13" s="1"/>
  <c r="G67" i="13"/>
  <c r="H67" i="13" s="1"/>
  <c r="O53" i="13"/>
  <c r="V54" i="13"/>
  <c r="X53" i="13"/>
  <c r="Z53" i="13" s="1"/>
  <c r="G53" i="13"/>
  <c r="I52" i="13"/>
  <c r="K52" i="13" s="1"/>
  <c r="N14" i="13"/>
  <c r="P14" i="13" s="1"/>
  <c r="AA14" i="13" s="1"/>
  <c r="L15" i="13"/>
  <c r="G31" i="13"/>
  <c r="H31" i="13" s="1"/>
  <c r="F22" i="13"/>
  <c r="F21" i="13"/>
  <c r="F20" i="13"/>
  <c r="AC16" i="13"/>
  <c r="G30" i="13"/>
  <c r="H30" i="13" s="1"/>
  <c r="G29" i="13"/>
  <c r="H29" i="13" s="1"/>
  <c r="W15" i="13"/>
  <c r="Y15" i="13"/>
  <c r="T15" i="13"/>
  <c r="G16" i="13"/>
  <c r="I15" i="13"/>
  <c r="K15" i="13" s="1"/>
  <c r="I12" i="11"/>
  <c r="K12" i="11" s="1"/>
  <c r="G13" i="11"/>
  <c r="I21" i="11"/>
  <c r="I20" i="11"/>
  <c r="I18" i="11"/>
  <c r="I19" i="11"/>
  <c r="AC15" i="11"/>
  <c r="X12" i="11"/>
  <c r="Z12" i="11" s="1"/>
  <c r="V13" i="11"/>
  <c r="M13" i="11"/>
  <c r="O13" i="11"/>
  <c r="Q13" i="11"/>
  <c r="S12" i="11"/>
  <c r="U12" i="11" s="1"/>
  <c r="E4" i="2"/>
  <c r="D4" i="2"/>
  <c r="C4" i="2"/>
  <c r="B4" i="2"/>
  <c r="S3" i="2"/>
  <c r="Z15" i="18" l="1"/>
  <c r="AB14" i="18"/>
  <c r="R20" i="18"/>
  <c r="H18" i="18"/>
  <c r="O15" i="18"/>
  <c r="M15" i="18"/>
  <c r="N15" i="18" s="1"/>
  <c r="U15" i="18"/>
  <c r="AB14" i="17"/>
  <c r="R20" i="17"/>
  <c r="H18" i="17"/>
  <c r="O15" i="17"/>
  <c r="M15" i="17"/>
  <c r="N15" i="17" s="1"/>
  <c r="J15" i="16"/>
  <c r="H15" i="16"/>
  <c r="I15" i="16" s="1"/>
  <c r="E19" i="16"/>
  <c r="E20" i="16"/>
  <c r="AA14" i="16"/>
  <c r="M15" i="16"/>
  <c r="N15" i="16" s="1"/>
  <c r="O15" i="16"/>
  <c r="AA12" i="11"/>
  <c r="U23" i="11"/>
  <c r="L490" i="6"/>
  <c r="Z398" i="6"/>
  <c r="S223" i="6"/>
  <c r="Q211" i="6"/>
  <c r="R211" i="6" s="1"/>
  <c r="AA205" i="6"/>
  <c r="AB167" i="6"/>
  <c r="E172" i="6"/>
  <c r="B59" i="6"/>
  <c r="W625" i="6"/>
  <c r="Y625" i="6"/>
  <c r="Q59" i="6"/>
  <c r="R59" i="6" s="1"/>
  <c r="AA53" i="6"/>
  <c r="J473" i="6"/>
  <c r="H473" i="6"/>
  <c r="AB358" i="6"/>
  <c r="E363" i="6"/>
  <c r="B326" i="6"/>
  <c r="L398" i="6"/>
  <c r="N397" i="6"/>
  <c r="P397" i="6" s="1"/>
  <c r="AA434" i="6"/>
  <c r="Q440" i="6"/>
  <c r="R440" i="6" s="1"/>
  <c r="P186" i="6"/>
  <c r="S185" i="6" s="1"/>
  <c r="Q135" i="6"/>
  <c r="R135" i="6" s="1"/>
  <c r="AA129" i="6"/>
  <c r="P681" i="6"/>
  <c r="S680" i="6" s="1"/>
  <c r="Q896" i="6"/>
  <c r="R896" i="6" s="1"/>
  <c r="AA890" i="6"/>
  <c r="Q630" i="6"/>
  <c r="R630" i="6" s="1"/>
  <c r="AA624" i="6"/>
  <c r="O16" i="6"/>
  <c r="M16" i="6"/>
  <c r="T511" i="6"/>
  <c r="R511" i="6"/>
  <c r="Z284" i="6"/>
  <c r="P529" i="6"/>
  <c r="S528" i="6" s="1"/>
  <c r="B478" i="6"/>
  <c r="Q478" i="6"/>
  <c r="R478" i="6" s="1"/>
  <c r="AA472" i="6"/>
  <c r="Q249" i="6"/>
  <c r="R249" i="6" s="1"/>
  <c r="AA243" i="6"/>
  <c r="L512" i="6"/>
  <c r="N511" i="6"/>
  <c r="Q288" i="6"/>
  <c r="R288" i="6" s="1"/>
  <c r="AA282" i="6"/>
  <c r="O549" i="6"/>
  <c r="M549" i="6"/>
  <c r="V892" i="6"/>
  <c r="X891" i="6"/>
  <c r="Z891" i="6" s="1"/>
  <c r="AA852" i="6"/>
  <c r="Q858" i="6"/>
  <c r="R858" i="6" s="1"/>
  <c r="AA15" i="6"/>
  <c r="Q21" i="6"/>
  <c r="R21" i="6" s="1"/>
  <c r="Q516" i="6"/>
  <c r="R516" i="6" s="1"/>
  <c r="AA510" i="6"/>
  <c r="X701" i="6"/>
  <c r="V702" i="6"/>
  <c r="L702" i="6"/>
  <c r="N701" i="6"/>
  <c r="P701" i="6" s="1"/>
  <c r="S130" i="6"/>
  <c r="U130" i="6" s="1"/>
  <c r="Q131" i="6"/>
  <c r="AB396" i="6"/>
  <c r="E401" i="6"/>
  <c r="Q97" i="6"/>
  <c r="R97" i="6" s="1"/>
  <c r="AA91" i="6"/>
  <c r="T588" i="6"/>
  <c r="R588" i="6"/>
  <c r="S588" i="6" s="1"/>
  <c r="R892" i="6"/>
  <c r="S892" i="6" s="1"/>
  <c r="T892" i="6"/>
  <c r="U892" i="6" s="1"/>
  <c r="L588" i="6"/>
  <c r="N587" i="6"/>
  <c r="P587" i="6" s="1"/>
  <c r="B97" i="6"/>
  <c r="O321" i="6"/>
  <c r="M321" i="6"/>
  <c r="Q744" i="6"/>
  <c r="R744" i="6" s="1"/>
  <c r="AA738" i="6"/>
  <c r="B211" i="6"/>
  <c r="B858" i="6"/>
  <c r="J206" i="6"/>
  <c r="H206" i="6"/>
  <c r="G169" i="6"/>
  <c r="I168" i="6"/>
  <c r="K168" i="6" s="1"/>
  <c r="P511" i="6"/>
  <c r="P110" i="6"/>
  <c r="S168" i="6"/>
  <c r="U168" i="6" s="1"/>
  <c r="Q169" i="6"/>
  <c r="Z701" i="6"/>
  <c r="T474" i="6"/>
  <c r="R474" i="6"/>
  <c r="S474" i="6" s="1"/>
  <c r="Q326" i="6"/>
  <c r="R326" i="6" s="1"/>
  <c r="AA320" i="6"/>
  <c r="H778" i="6"/>
  <c r="I778" i="6" s="1"/>
  <c r="J778" i="6"/>
  <c r="H739" i="6"/>
  <c r="J739" i="6"/>
  <c r="AA548" i="6"/>
  <c r="Q554" i="6"/>
  <c r="R554" i="6" s="1"/>
  <c r="W359" i="6"/>
  <c r="Y359" i="6"/>
  <c r="AA662" i="6"/>
  <c r="Q668" i="6"/>
  <c r="R668" i="6" s="1"/>
  <c r="O71" i="6"/>
  <c r="P71" i="6" s="1"/>
  <c r="O69" i="6"/>
  <c r="P69" i="6" s="1"/>
  <c r="O67" i="6"/>
  <c r="P67" i="6" s="1"/>
  <c r="L59" i="6"/>
  <c r="L58" i="6"/>
  <c r="O70" i="6"/>
  <c r="P70" i="6" s="1"/>
  <c r="L62" i="6"/>
  <c r="O68" i="6"/>
  <c r="P68" i="6" s="1"/>
  <c r="L61" i="6"/>
  <c r="L60" i="6"/>
  <c r="T398" i="6"/>
  <c r="R398" i="6"/>
  <c r="S398" i="6" s="1"/>
  <c r="AA776" i="6"/>
  <c r="Q782" i="6"/>
  <c r="R782" i="6" s="1"/>
  <c r="Y244" i="6"/>
  <c r="W244" i="6"/>
  <c r="S359" i="6"/>
  <c r="U359" i="6" s="1"/>
  <c r="Q360" i="6"/>
  <c r="H702" i="6"/>
  <c r="I702" i="6" s="1"/>
  <c r="J702" i="6"/>
  <c r="Q245" i="6"/>
  <c r="S244" i="6"/>
  <c r="U244" i="6" s="1"/>
  <c r="O626" i="6"/>
  <c r="M626" i="6"/>
  <c r="N626" i="6" s="1"/>
  <c r="G322" i="6"/>
  <c r="I321" i="6"/>
  <c r="K321" i="6" s="1"/>
  <c r="H244" i="6"/>
  <c r="J244" i="6"/>
  <c r="S625" i="6"/>
  <c r="Q626" i="6"/>
  <c r="W17" i="6"/>
  <c r="X17" i="6" s="1"/>
  <c r="Y17" i="6"/>
  <c r="Z17" i="6" s="1"/>
  <c r="T92" i="6"/>
  <c r="R92" i="6"/>
  <c r="P833" i="6"/>
  <c r="S832" i="6" s="1"/>
  <c r="O739" i="6"/>
  <c r="M739" i="6"/>
  <c r="L71" i="6"/>
  <c r="N206" i="6"/>
  <c r="P206" i="6" s="1"/>
  <c r="L207" i="6"/>
  <c r="J17" i="6"/>
  <c r="H17" i="6"/>
  <c r="I17" i="6" s="1"/>
  <c r="H360" i="6"/>
  <c r="I360" i="6" s="1"/>
  <c r="J360" i="6"/>
  <c r="P719" i="6"/>
  <c r="S718" i="6" s="1"/>
  <c r="W92" i="6"/>
  <c r="Y92" i="6"/>
  <c r="Y55" i="6"/>
  <c r="W55" i="6"/>
  <c r="X55" i="6" s="1"/>
  <c r="S549" i="6"/>
  <c r="U549" i="6" s="1"/>
  <c r="Q550" i="6"/>
  <c r="X587" i="6"/>
  <c r="V588" i="6"/>
  <c r="S853" i="6"/>
  <c r="Q854" i="6"/>
  <c r="N54" i="6"/>
  <c r="L55" i="6"/>
  <c r="T663" i="6"/>
  <c r="R663" i="6"/>
  <c r="S109" i="6"/>
  <c r="B288" i="6"/>
  <c r="O130" i="6"/>
  <c r="M130" i="6"/>
  <c r="O92" i="6"/>
  <c r="M92" i="6"/>
  <c r="P757" i="6"/>
  <c r="S756" i="6" s="1"/>
  <c r="W854" i="6"/>
  <c r="X854" i="6" s="1"/>
  <c r="Y854" i="6"/>
  <c r="Z854" i="6" s="1"/>
  <c r="V207" i="6"/>
  <c r="X206" i="6"/>
  <c r="Z206" i="6" s="1"/>
  <c r="M891" i="6"/>
  <c r="O891" i="6"/>
  <c r="S321" i="6"/>
  <c r="U321" i="6" s="1"/>
  <c r="Q322" i="6"/>
  <c r="P339" i="6"/>
  <c r="S338" i="6" s="1"/>
  <c r="R816" i="6"/>
  <c r="S816" i="6" s="1"/>
  <c r="T816" i="6"/>
  <c r="U816" i="6" s="1"/>
  <c r="X663" i="6"/>
  <c r="Z663" i="6" s="1"/>
  <c r="V664" i="6"/>
  <c r="S54" i="6"/>
  <c r="U54" i="6" s="1"/>
  <c r="Q55" i="6"/>
  <c r="J54" i="6"/>
  <c r="H54" i="6"/>
  <c r="H284" i="6"/>
  <c r="I284" i="6" s="1"/>
  <c r="J284" i="6"/>
  <c r="K284" i="6" s="1"/>
  <c r="W436" i="6"/>
  <c r="X436" i="6" s="1"/>
  <c r="Y436" i="6"/>
  <c r="N815" i="6"/>
  <c r="P815" i="6" s="1"/>
  <c r="L816" i="6"/>
  <c r="W169" i="6"/>
  <c r="X169" i="6" s="1"/>
  <c r="Y169" i="6"/>
  <c r="Z169" i="6" s="1"/>
  <c r="B630" i="6"/>
  <c r="O435" i="6"/>
  <c r="M435" i="6"/>
  <c r="L474" i="6"/>
  <c r="N473" i="6"/>
  <c r="P473" i="6" s="1"/>
  <c r="U625" i="6"/>
  <c r="P262" i="6"/>
  <c r="S261" i="6" s="1"/>
  <c r="G854" i="6"/>
  <c r="I853" i="6"/>
  <c r="K853" i="6" s="1"/>
  <c r="B440" i="6"/>
  <c r="B668" i="6"/>
  <c r="X473" i="6"/>
  <c r="Z473" i="6" s="1"/>
  <c r="V474" i="6"/>
  <c r="O168" i="6"/>
  <c r="M168" i="6"/>
  <c r="Q702" i="6"/>
  <c r="S701" i="6"/>
  <c r="U701" i="6" s="1"/>
  <c r="B896" i="6"/>
  <c r="Z587" i="6"/>
  <c r="I587" i="6"/>
  <c r="K587" i="6" s="1"/>
  <c r="G588" i="6"/>
  <c r="L778" i="6"/>
  <c r="N777" i="6"/>
  <c r="P777" i="6" s="1"/>
  <c r="L478" i="6"/>
  <c r="L477" i="6"/>
  <c r="L481" i="6"/>
  <c r="O489" i="6"/>
  <c r="P489" i="6" s="1"/>
  <c r="O487" i="6"/>
  <c r="P487" i="6" s="1"/>
  <c r="O486" i="6"/>
  <c r="P486" i="6" s="1"/>
  <c r="L480" i="6"/>
  <c r="L479" i="6"/>
  <c r="O490" i="6"/>
  <c r="P490" i="6" s="1"/>
  <c r="O488" i="6"/>
  <c r="P488" i="6" s="1"/>
  <c r="R207" i="6"/>
  <c r="S207" i="6" s="1"/>
  <c r="T207" i="6"/>
  <c r="Y739" i="6"/>
  <c r="W739" i="6"/>
  <c r="T739" i="6"/>
  <c r="R739" i="6"/>
  <c r="G436" i="6"/>
  <c r="I435" i="6"/>
  <c r="K435" i="6" s="1"/>
  <c r="B744" i="6"/>
  <c r="B249" i="6"/>
  <c r="L284" i="6"/>
  <c r="N283" i="6"/>
  <c r="P283" i="6" s="1"/>
  <c r="O360" i="6"/>
  <c r="M360" i="6"/>
  <c r="N360" i="6" s="1"/>
  <c r="G816" i="6"/>
  <c r="I815" i="6"/>
  <c r="K815" i="6" s="1"/>
  <c r="AB700" i="6"/>
  <c r="E705" i="6"/>
  <c r="H626" i="6"/>
  <c r="I626" i="6" s="1"/>
  <c r="J626" i="6"/>
  <c r="K626" i="6" s="1"/>
  <c r="M244" i="6"/>
  <c r="O244" i="6"/>
  <c r="L664" i="6"/>
  <c r="N663" i="6"/>
  <c r="P663" i="6" s="1"/>
  <c r="J891" i="6"/>
  <c r="H891" i="6"/>
  <c r="T777" i="6"/>
  <c r="R777" i="6"/>
  <c r="W322" i="6"/>
  <c r="X322" i="6" s="1"/>
  <c r="Y322" i="6"/>
  <c r="Z322" i="6" s="1"/>
  <c r="O853" i="6"/>
  <c r="M853" i="6"/>
  <c r="G93" i="6"/>
  <c r="I92" i="6"/>
  <c r="K92" i="6" s="1"/>
  <c r="S16" i="6"/>
  <c r="U16" i="6" s="1"/>
  <c r="Q17" i="6"/>
  <c r="S435" i="6"/>
  <c r="U435" i="6" s="1"/>
  <c r="Q436" i="6"/>
  <c r="H131" i="6"/>
  <c r="I131" i="6" s="1"/>
  <c r="J131" i="6"/>
  <c r="K131" i="6" s="1"/>
  <c r="U853" i="6"/>
  <c r="T283" i="6"/>
  <c r="R283" i="6"/>
  <c r="P54" i="6"/>
  <c r="E174" i="6"/>
  <c r="B173" i="6"/>
  <c r="H664" i="6"/>
  <c r="I664" i="6" s="1"/>
  <c r="J664" i="6"/>
  <c r="B364" i="6"/>
  <c r="E365" i="6"/>
  <c r="B516" i="6"/>
  <c r="W511" i="6"/>
  <c r="Y511" i="6"/>
  <c r="P909" i="6"/>
  <c r="S908" i="6" s="1"/>
  <c r="P453" i="6"/>
  <c r="S452" i="6" s="1"/>
  <c r="X777" i="6"/>
  <c r="Z777" i="6" s="1"/>
  <c r="V778" i="6"/>
  <c r="AB586" i="6"/>
  <c r="E591" i="6"/>
  <c r="AB814" i="6"/>
  <c r="E819" i="6"/>
  <c r="P453" i="5"/>
  <c r="S452" i="5" s="1"/>
  <c r="P262" i="5"/>
  <c r="L223" i="5"/>
  <c r="Q97" i="5"/>
  <c r="R97" i="5" s="1"/>
  <c r="Q668" i="5"/>
  <c r="R668" i="5" s="1"/>
  <c r="AA662" i="5"/>
  <c r="AA282" i="5"/>
  <c r="Q288" i="5"/>
  <c r="R288" i="5" s="1"/>
  <c r="AA53" i="5"/>
  <c r="Q59" i="5"/>
  <c r="R59" i="5" s="1"/>
  <c r="Q820" i="5"/>
  <c r="R820" i="5" s="1"/>
  <c r="AA814" i="5"/>
  <c r="AA167" i="5"/>
  <c r="Q173" i="5"/>
  <c r="R173" i="5" s="1"/>
  <c r="Q896" i="5"/>
  <c r="R896" i="5" s="1"/>
  <c r="AA890" i="5"/>
  <c r="Q782" i="5"/>
  <c r="R782" i="5" s="1"/>
  <c r="AA776" i="5"/>
  <c r="Q440" i="5"/>
  <c r="R440" i="5" s="1"/>
  <c r="AA434" i="5"/>
  <c r="AA738" i="5"/>
  <c r="AB91" i="5"/>
  <c r="E96" i="5"/>
  <c r="AA320" i="5"/>
  <c r="Q592" i="5"/>
  <c r="R592" i="5" s="1"/>
  <c r="AA586" i="5"/>
  <c r="Q21" i="5"/>
  <c r="R21" i="5" s="1"/>
  <c r="AA15" i="5"/>
  <c r="N397" i="5"/>
  <c r="P397" i="5" s="1"/>
  <c r="Q403" i="5" s="1"/>
  <c r="R403" i="5" s="1"/>
  <c r="L398" i="5"/>
  <c r="M360" i="5"/>
  <c r="N360" i="5" s="1"/>
  <c r="O360" i="5"/>
  <c r="B516" i="5"/>
  <c r="R321" i="5"/>
  <c r="T321" i="5"/>
  <c r="I625" i="5"/>
  <c r="K625" i="5" s="1"/>
  <c r="G626" i="5"/>
  <c r="W854" i="5"/>
  <c r="X854" i="5" s="1"/>
  <c r="Y854" i="5"/>
  <c r="Y359" i="5"/>
  <c r="W359" i="5"/>
  <c r="Q554" i="5"/>
  <c r="R554" i="5" s="1"/>
  <c r="AA548" i="5"/>
  <c r="R474" i="5"/>
  <c r="S474" i="5" s="1"/>
  <c r="T474" i="5"/>
  <c r="U474" i="5" s="1"/>
  <c r="B173" i="5"/>
  <c r="G702" i="5"/>
  <c r="I701" i="5"/>
  <c r="N473" i="5"/>
  <c r="P473" i="5" s="1"/>
  <c r="L474" i="5"/>
  <c r="O527" i="5"/>
  <c r="P527" i="5" s="1"/>
  <c r="O525" i="5"/>
  <c r="P525" i="5" s="1"/>
  <c r="O524" i="5"/>
  <c r="P524" i="5" s="1"/>
  <c r="L515" i="5"/>
  <c r="L516" i="5"/>
  <c r="L519" i="5"/>
  <c r="L518" i="5"/>
  <c r="O528" i="5"/>
  <c r="P528" i="5" s="1"/>
  <c r="O526" i="5"/>
  <c r="P526" i="5" s="1"/>
  <c r="L517" i="5"/>
  <c r="I16" i="5"/>
  <c r="G17" i="5"/>
  <c r="J549" i="5"/>
  <c r="H549" i="5"/>
  <c r="K321" i="5"/>
  <c r="M321" i="5"/>
  <c r="O321" i="5"/>
  <c r="H244" i="5"/>
  <c r="J244" i="5"/>
  <c r="Y892" i="5"/>
  <c r="W892" i="5"/>
  <c r="X892" i="5" s="1"/>
  <c r="Y16" i="5"/>
  <c r="W16" i="5"/>
  <c r="M168" i="5"/>
  <c r="O168" i="5"/>
  <c r="T206" i="5"/>
  <c r="R206" i="5"/>
  <c r="V550" i="5"/>
  <c r="X549" i="5"/>
  <c r="Z549" i="5" s="1"/>
  <c r="J168" i="5"/>
  <c r="H168" i="5"/>
  <c r="M626" i="5"/>
  <c r="N626" i="5" s="1"/>
  <c r="O626" i="5"/>
  <c r="Y321" i="5"/>
  <c r="W321" i="5"/>
  <c r="Q858" i="5"/>
  <c r="R858" i="5" s="1"/>
  <c r="AA852" i="5"/>
  <c r="M92" i="5"/>
  <c r="O92" i="5"/>
  <c r="H206" i="5"/>
  <c r="J206" i="5"/>
  <c r="Q135" i="5"/>
  <c r="R135" i="5" s="1"/>
  <c r="AA129" i="5"/>
  <c r="H511" i="5"/>
  <c r="J511" i="5"/>
  <c r="Y474" i="5"/>
  <c r="W474" i="5"/>
  <c r="X474" i="5" s="1"/>
  <c r="N701" i="5"/>
  <c r="P701" i="5" s="1"/>
  <c r="L702" i="5"/>
  <c r="O853" i="5"/>
  <c r="M853" i="5"/>
  <c r="T511" i="5"/>
  <c r="R511" i="5"/>
  <c r="H435" i="5"/>
  <c r="J435" i="5"/>
  <c r="Q326" i="5"/>
  <c r="R326" i="5" s="1"/>
  <c r="H663" i="5"/>
  <c r="J663" i="5"/>
  <c r="AB700" i="5"/>
  <c r="E705" i="5"/>
  <c r="B858" i="5"/>
  <c r="H853" i="5"/>
  <c r="J853" i="5"/>
  <c r="L55" i="5"/>
  <c r="N54" i="5"/>
  <c r="P54" i="5" s="1"/>
  <c r="O130" i="5"/>
  <c r="M130" i="5"/>
  <c r="Q516" i="5"/>
  <c r="R516" i="5" s="1"/>
  <c r="AA510" i="5"/>
  <c r="AA205" i="5"/>
  <c r="Q211" i="5"/>
  <c r="R211" i="5" s="1"/>
  <c r="O223" i="5"/>
  <c r="P223" i="5" s="1"/>
  <c r="O221" i="5"/>
  <c r="P221" i="5" s="1"/>
  <c r="L213" i="5"/>
  <c r="L212" i="5"/>
  <c r="O219" i="5"/>
  <c r="P219" i="5" s="1"/>
  <c r="L214" i="5"/>
  <c r="O222" i="5"/>
  <c r="P222" i="5" s="1"/>
  <c r="L210" i="5"/>
  <c r="O220" i="5"/>
  <c r="P220" i="5" s="1"/>
  <c r="L211" i="5"/>
  <c r="Q93" i="5"/>
  <c r="S92" i="5"/>
  <c r="U92" i="5" s="1"/>
  <c r="AB396" i="5"/>
  <c r="E401" i="5"/>
  <c r="AA358" i="5"/>
  <c r="Q364" i="5"/>
  <c r="R364" i="5" s="1"/>
  <c r="M511" i="5"/>
  <c r="O511" i="5"/>
  <c r="I92" i="5"/>
  <c r="K92" i="5" s="1"/>
  <c r="G93" i="5"/>
  <c r="I321" i="5"/>
  <c r="G322" i="5"/>
  <c r="AB624" i="5"/>
  <c r="E629" i="5"/>
  <c r="Q744" i="5"/>
  <c r="R744" i="5" s="1"/>
  <c r="S54" i="5"/>
  <c r="Q55" i="5"/>
  <c r="H815" i="5"/>
  <c r="J815" i="5"/>
  <c r="P719" i="5"/>
  <c r="S718" i="5" s="1"/>
  <c r="W283" i="5"/>
  <c r="Y283" i="5"/>
  <c r="V93" i="5"/>
  <c r="X92" i="5"/>
  <c r="Z92" i="5" s="1"/>
  <c r="W54" i="5"/>
  <c r="Y54" i="5"/>
  <c r="B135" i="5"/>
  <c r="G474" i="5"/>
  <c r="I473" i="5"/>
  <c r="K473" i="5" s="1"/>
  <c r="T739" i="5"/>
  <c r="R739" i="5"/>
  <c r="P757" i="5"/>
  <c r="S756" i="5" s="1"/>
  <c r="B820" i="5"/>
  <c r="U54" i="5"/>
  <c r="Y244" i="5"/>
  <c r="W244" i="5"/>
  <c r="W206" i="5"/>
  <c r="Y206" i="5"/>
  <c r="Y168" i="5"/>
  <c r="W168" i="5"/>
  <c r="P891" i="5"/>
  <c r="O549" i="5"/>
  <c r="M549" i="5"/>
  <c r="P643" i="5"/>
  <c r="S642" i="5" s="1"/>
  <c r="P415" i="5"/>
  <c r="S414" i="5" s="1"/>
  <c r="W587" i="5"/>
  <c r="Y587" i="5"/>
  <c r="Y815" i="5"/>
  <c r="W815" i="5"/>
  <c r="G55" i="5"/>
  <c r="I54" i="5"/>
  <c r="R549" i="5"/>
  <c r="T549" i="5"/>
  <c r="O283" i="5"/>
  <c r="M283" i="5"/>
  <c r="B896" i="5"/>
  <c r="M244" i="5"/>
  <c r="O244" i="5"/>
  <c r="E98" i="5"/>
  <c r="B97" i="5"/>
  <c r="V626" i="5"/>
  <c r="X625" i="5"/>
  <c r="B440" i="5"/>
  <c r="Y739" i="5"/>
  <c r="W739" i="5"/>
  <c r="H360" i="5"/>
  <c r="I360" i="5" s="1"/>
  <c r="J360" i="5"/>
  <c r="B249" i="5"/>
  <c r="K701" i="5"/>
  <c r="B288" i="5"/>
  <c r="L436" i="5"/>
  <c r="N435" i="5"/>
  <c r="P435" i="5" s="1"/>
  <c r="L528" i="5"/>
  <c r="T663" i="5"/>
  <c r="R663" i="5"/>
  <c r="K16" i="5"/>
  <c r="M739" i="5"/>
  <c r="O739" i="5"/>
  <c r="S261" i="5"/>
  <c r="P681" i="5"/>
  <c r="S680" i="5" s="1"/>
  <c r="AA243" i="5"/>
  <c r="Q249" i="5"/>
  <c r="R249" i="5" s="1"/>
  <c r="J398" i="5"/>
  <c r="H398" i="5"/>
  <c r="I398" i="5" s="1"/>
  <c r="P301" i="5"/>
  <c r="S300" i="5" s="1"/>
  <c r="T853" i="5"/>
  <c r="R853" i="5"/>
  <c r="X511" i="5"/>
  <c r="Z511" i="5" s="1"/>
  <c r="V512" i="5"/>
  <c r="AB472" i="5"/>
  <c r="E477" i="5"/>
  <c r="T284" i="5"/>
  <c r="R284" i="5"/>
  <c r="S284" i="5" s="1"/>
  <c r="N891" i="5"/>
  <c r="L892" i="5"/>
  <c r="I739" i="5"/>
  <c r="K739" i="5" s="1"/>
  <c r="G740" i="5"/>
  <c r="B554" i="5"/>
  <c r="P605" i="5"/>
  <c r="S604" i="5" s="1"/>
  <c r="B211" i="5"/>
  <c r="T815" i="5"/>
  <c r="R815" i="5"/>
  <c r="H587" i="5"/>
  <c r="J587" i="5"/>
  <c r="P778" i="5"/>
  <c r="T359" i="5"/>
  <c r="R359" i="5"/>
  <c r="J891" i="5"/>
  <c r="H891" i="5"/>
  <c r="K54" i="5"/>
  <c r="S777" i="5"/>
  <c r="U777" i="5" s="1"/>
  <c r="Q778" i="5"/>
  <c r="M815" i="5"/>
  <c r="O815" i="5"/>
  <c r="P72" i="5"/>
  <c r="S71" i="5" s="1"/>
  <c r="V702" i="5"/>
  <c r="X701" i="5"/>
  <c r="Z701" i="5" s="1"/>
  <c r="X663" i="5"/>
  <c r="Z663" i="5" s="1"/>
  <c r="V664" i="5"/>
  <c r="T435" i="5"/>
  <c r="R435" i="5"/>
  <c r="W777" i="5"/>
  <c r="Y777" i="5"/>
  <c r="B744" i="5"/>
  <c r="Z625" i="5"/>
  <c r="O587" i="5"/>
  <c r="M587" i="5"/>
  <c r="Y435" i="5"/>
  <c r="W435" i="5"/>
  <c r="B668" i="5"/>
  <c r="R16" i="5"/>
  <c r="T16" i="5"/>
  <c r="M16" i="5"/>
  <c r="O16" i="5"/>
  <c r="R244" i="5"/>
  <c r="T244" i="5"/>
  <c r="P377" i="5"/>
  <c r="S376" i="5" s="1"/>
  <c r="O206" i="5"/>
  <c r="M206" i="5"/>
  <c r="W130" i="5"/>
  <c r="Y130" i="5"/>
  <c r="K778" i="5"/>
  <c r="T130" i="5"/>
  <c r="R130" i="5"/>
  <c r="T587" i="5"/>
  <c r="R587" i="5"/>
  <c r="B782" i="5"/>
  <c r="H283" i="5"/>
  <c r="J283" i="5"/>
  <c r="B592" i="5"/>
  <c r="M663" i="5"/>
  <c r="O663" i="5"/>
  <c r="P871" i="12"/>
  <c r="L870" i="12"/>
  <c r="S870" i="12" s="1"/>
  <c r="H679" i="12"/>
  <c r="P643" i="12"/>
  <c r="S642" i="12" s="1"/>
  <c r="P605" i="12"/>
  <c r="P491" i="12"/>
  <c r="Q135" i="12"/>
  <c r="R135" i="12" s="1"/>
  <c r="AA129" i="12"/>
  <c r="AB129" i="12" s="1"/>
  <c r="E136" i="12" s="1"/>
  <c r="AB548" i="12"/>
  <c r="E553" i="12"/>
  <c r="Q630" i="12"/>
  <c r="R630" i="12" s="1"/>
  <c r="AA624" i="12"/>
  <c r="Q815" i="12"/>
  <c r="S814" i="12"/>
  <c r="G587" i="12"/>
  <c r="I586" i="12"/>
  <c r="K586" i="12" s="1"/>
  <c r="J625" i="12"/>
  <c r="H625" i="12"/>
  <c r="P795" i="12"/>
  <c r="S794" i="12" s="1"/>
  <c r="V663" i="12"/>
  <c r="X662" i="12"/>
  <c r="Z662" i="12" s="1"/>
  <c r="Q739" i="12"/>
  <c r="S738" i="12"/>
  <c r="O32" i="12"/>
  <c r="P32" i="12" s="1"/>
  <c r="O30" i="12"/>
  <c r="P30" i="12" s="1"/>
  <c r="O29" i="12"/>
  <c r="P29" i="12" s="1"/>
  <c r="O33" i="12"/>
  <c r="P33" i="12" s="1"/>
  <c r="O31" i="12"/>
  <c r="P31" i="12" s="1"/>
  <c r="L23" i="12"/>
  <c r="L22" i="12"/>
  <c r="L24" i="12"/>
  <c r="L21" i="12"/>
  <c r="L20" i="12"/>
  <c r="Q168" i="12"/>
  <c r="S167" i="12"/>
  <c r="U167" i="12" s="1"/>
  <c r="L17" i="12"/>
  <c r="N16" i="12"/>
  <c r="P16" i="12" s="1"/>
  <c r="V322" i="12"/>
  <c r="X321" i="12"/>
  <c r="Z321" i="12" s="1"/>
  <c r="B667" i="12"/>
  <c r="AB661" i="12"/>
  <c r="L185" i="12"/>
  <c r="X738" i="12"/>
  <c r="Z738" i="12" s="1"/>
  <c r="V739" i="12"/>
  <c r="J891" i="12"/>
  <c r="H891" i="12"/>
  <c r="G511" i="12"/>
  <c r="I510" i="12"/>
  <c r="O452" i="12"/>
  <c r="P452" i="12" s="1"/>
  <c r="O450" i="12"/>
  <c r="P450" i="12" s="1"/>
  <c r="L442" i="12"/>
  <c r="L441" i="12"/>
  <c r="O449" i="12"/>
  <c r="P449" i="12" s="1"/>
  <c r="L440" i="12"/>
  <c r="O448" i="12"/>
  <c r="P448" i="12" s="1"/>
  <c r="L443" i="12"/>
  <c r="O451" i="12"/>
  <c r="P451" i="12" s="1"/>
  <c r="L439" i="12"/>
  <c r="L284" i="12"/>
  <c r="N283" i="12"/>
  <c r="P283" i="12" s="1"/>
  <c r="J701" i="12"/>
  <c r="H701" i="12"/>
  <c r="B782" i="12"/>
  <c r="G168" i="12"/>
  <c r="I167" i="12"/>
  <c r="K167" i="12" s="1"/>
  <c r="Y131" i="12"/>
  <c r="W131" i="12"/>
  <c r="X131" i="12" s="1"/>
  <c r="B857" i="12"/>
  <c r="AB851" i="12"/>
  <c r="Q322" i="12"/>
  <c r="S321" i="12"/>
  <c r="U738" i="12"/>
  <c r="N662" i="12"/>
  <c r="P662" i="12" s="1"/>
  <c r="L663" i="12"/>
  <c r="L223" i="12"/>
  <c r="B630" i="12"/>
  <c r="N814" i="12"/>
  <c r="P814" i="12" s="1"/>
  <c r="L815" i="12"/>
  <c r="M130" i="12"/>
  <c r="O130" i="12"/>
  <c r="L71" i="12"/>
  <c r="O359" i="12"/>
  <c r="M359" i="12"/>
  <c r="I662" i="12"/>
  <c r="G663" i="12"/>
  <c r="X511" i="12"/>
  <c r="Z511" i="12" s="1"/>
  <c r="V512" i="12"/>
  <c r="L261" i="12"/>
  <c r="B58" i="12"/>
  <c r="AB52" i="12"/>
  <c r="O549" i="12"/>
  <c r="M549" i="12"/>
  <c r="Q326" i="12"/>
  <c r="R326" i="12" s="1"/>
  <c r="AA320" i="12"/>
  <c r="H831" i="12"/>
  <c r="X700" i="12"/>
  <c r="Z700" i="12" s="1"/>
  <c r="V701" i="12"/>
  <c r="M244" i="12"/>
  <c r="O244" i="12"/>
  <c r="G739" i="12"/>
  <c r="I738" i="12"/>
  <c r="B21" i="12"/>
  <c r="L490" i="12"/>
  <c r="S490" i="12" s="1"/>
  <c r="P415" i="12"/>
  <c r="S414" i="12" s="1"/>
  <c r="S130" i="12"/>
  <c r="U130" i="12" s="1"/>
  <c r="Q131" i="12"/>
  <c r="T435" i="12"/>
  <c r="R435" i="12"/>
  <c r="W891" i="12"/>
  <c r="Y891" i="12"/>
  <c r="J321" i="12"/>
  <c r="H321" i="12"/>
  <c r="P148" i="12"/>
  <c r="S147" i="12" s="1"/>
  <c r="O206" i="12"/>
  <c r="M206" i="12"/>
  <c r="E135" i="12"/>
  <c r="V398" i="12"/>
  <c r="X397" i="12"/>
  <c r="AB509" i="12"/>
  <c r="B515" i="12"/>
  <c r="AB585" i="12"/>
  <c r="B591" i="12"/>
  <c r="B895" i="12"/>
  <c r="AB889" i="12"/>
  <c r="Q554" i="12"/>
  <c r="R554" i="12" s="1"/>
  <c r="B440" i="12"/>
  <c r="H283" i="12"/>
  <c r="J283" i="12"/>
  <c r="X283" i="12"/>
  <c r="Z283" i="12" s="1"/>
  <c r="V284" i="12"/>
  <c r="O717" i="12"/>
  <c r="P717" i="12" s="1"/>
  <c r="O716" i="12"/>
  <c r="P716" i="12" s="1"/>
  <c r="L708" i="12"/>
  <c r="L709" i="12"/>
  <c r="O718" i="12"/>
  <c r="P718" i="12" s="1"/>
  <c r="O715" i="12"/>
  <c r="P715" i="12" s="1"/>
  <c r="L707" i="12"/>
  <c r="L706" i="12"/>
  <c r="L705" i="12"/>
  <c r="O714" i="12"/>
  <c r="P714" i="12" s="1"/>
  <c r="K831" i="12"/>
  <c r="K829" i="12"/>
  <c r="L829" i="12" s="1"/>
  <c r="K828" i="12"/>
  <c r="L828" i="12" s="1"/>
  <c r="K830" i="12"/>
  <c r="L830" i="12" s="1"/>
  <c r="I822" i="12"/>
  <c r="I821" i="12"/>
  <c r="I820" i="12"/>
  <c r="AC816" i="12"/>
  <c r="I819" i="12"/>
  <c r="I397" i="12"/>
  <c r="K397" i="12" s="1"/>
  <c r="G398" i="12"/>
  <c r="T473" i="12"/>
  <c r="R473" i="12"/>
  <c r="K738" i="12"/>
  <c r="AB395" i="12"/>
  <c r="B401" i="12"/>
  <c r="M777" i="12"/>
  <c r="O777" i="12"/>
  <c r="I243" i="12"/>
  <c r="K243" i="12" s="1"/>
  <c r="G244" i="12"/>
  <c r="K678" i="12"/>
  <c r="L678" i="12" s="1"/>
  <c r="I670" i="12"/>
  <c r="I669" i="12"/>
  <c r="K679" i="12"/>
  <c r="L679" i="12" s="1"/>
  <c r="I667" i="12"/>
  <c r="K677" i="12"/>
  <c r="L677" i="12" s="1"/>
  <c r="K676" i="12"/>
  <c r="L676" i="12" s="1"/>
  <c r="I668" i="12"/>
  <c r="AC664" i="12"/>
  <c r="B288" i="12"/>
  <c r="V815" i="12"/>
  <c r="X814" i="12"/>
  <c r="Z814" i="12" s="1"/>
  <c r="X586" i="12"/>
  <c r="Z586" i="12" s="1"/>
  <c r="V587" i="12"/>
  <c r="L908" i="12"/>
  <c r="S908" i="12" s="1"/>
  <c r="B363" i="12"/>
  <c r="AB357" i="12"/>
  <c r="O435" i="12"/>
  <c r="M435" i="12"/>
  <c r="Y244" i="12"/>
  <c r="W244" i="12"/>
  <c r="Q587" i="12"/>
  <c r="S586" i="12"/>
  <c r="U586" i="12" s="1"/>
  <c r="J777" i="12"/>
  <c r="H777" i="12"/>
  <c r="T511" i="12"/>
  <c r="R511" i="12"/>
  <c r="AB737" i="12"/>
  <c r="B743" i="12"/>
  <c r="O527" i="12"/>
  <c r="P527" i="12" s="1"/>
  <c r="O525" i="12"/>
  <c r="P525" i="12" s="1"/>
  <c r="O524" i="12"/>
  <c r="P524" i="12" s="1"/>
  <c r="O526" i="12"/>
  <c r="P526" i="12" s="1"/>
  <c r="L519" i="12"/>
  <c r="L518" i="12"/>
  <c r="L516" i="12"/>
  <c r="L515" i="12"/>
  <c r="O528" i="12"/>
  <c r="P528" i="12" s="1"/>
  <c r="L517" i="12"/>
  <c r="M397" i="12"/>
  <c r="O397" i="12"/>
  <c r="Q16" i="12"/>
  <c r="S15" i="12"/>
  <c r="Q663" i="12"/>
  <c r="S662" i="12"/>
  <c r="U662" i="12" s="1"/>
  <c r="O222" i="12"/>
  <c r="P222" i="12" s="1"/>
  <c r="O220" i="12"/>
  <c r="P220" i="12" s="1"/>
  <c r="O219" i="12"/>
  <c r="P219" i="12" s="1"/>
  <c r="O223" i="12"/>
  <c r="P223" i="12" s="1"/>
  <c r="O221" i="12"/>
  <c r="P221" i="12" s="1"/>
  <c r="L213" i="12"/>
  <c r="L212" i="12"/>
  <c r="L211" i="12"/>
  <c r="L210" i="12"/>
  <c r="L214" i="12"/>
  <c r="Q92" i="12"/>
  <c r="S91" i="12"/>
  <c r="O755" i="12"/>
  <c r="P755" i="12" s="1"/>
  <c r="O753" i="12"/>
  <c r="P753" i="12" s="1"/>
  <c r="O752" i="12"/>
  <c r="P752" i="12" s="1"/>
  <c r="O756" i="12"/>
  <c r="P756" i="12" s="1"/>
  <c r="L743" i="12"/>
  <c r="O754" i="12"/>
  <c r="P754" i="12" s="1"/>
  <c r="L746" i="12"/>
  <c r="L745" i="12"/>
  <c r="L744" i="12"/>
  <c r="L747" i="12"/>
  <c r="L756" i="12"/>
  <c r="W16" i="12"/>
  <c r="Y16" i="12"/>
  <c r="G93" i="12"/>
  <c r="I92" i="12"/>
  <c r="K92" i="12" s="1"/>
  <c r="K662" i="12"/>
  <c r="AB166" i="12"/>
  <c r="B172" i="12"/>
  <c r="S625" i="12"/>
  <c r="U625" i="12" s="1"/>
  <c r="Q626" i="12"/>
  <c r="L739" i="12"/>
  <c r="N738" i="12"/>
  <c r="P738" i="12" s="1"/>
  <c r="P339" i="12"/>
  <c r="S338" i="12" s="1"/>
  <c r="G131" i="12"/>
  <c r="I130" i="12"/>
  <c r="K130" i="12" s="1"/>
  <c r="I549" i="12"/>
  <c r="K549" i="12" s="1"/>
  <c r="G550" i="12"/>
  <c r="Y473" i="12"/>
  <c r="W473" i="12"/>
  <c r="L92" i="12"/>
  <c r="N91" i="12"/>
  <c r="P91" i="12" s="1"/>
  <c r="P377" i="12"/>
  <c r="S376" i="12" s="1"/>
  <c r="R891" i="12"/>
  <c r="T891" i="12"/>
  <c r="R550" i="12"/>
  <c r="S550" i="12" s="1"/>
  <c r="T550" i="12"/>
  <c r="S300" i="12"/>
  <c r="I53" i="12"/>
  <c r="G54" i="12"/>
  <c r="B705" i="12"/>
  <c r="AB699" i="12"/>
  <c r="L511" i="12"/>
  <c r="N510" i="12"/>
  <c r="N890" i="12"/>
  <c r="P890" i="12" s="1"/>
  <c r="L891" i="12"/>
  <c r="L452" i="12"/>
  <c r="B478" i="12"/>
  <c r="I358" i="12"/>
  <c r="K358" i="12" s="1"/>
  <c r="G359" i="12"/>
  <c r="L587" i="12"/>
  <c r="N586" i="12"/>
  <c r="P586" i="12" s="1"/>
  <c r="S700" i="12"/>
  <c r="U700" i="12" s="1"/>
  <c r="Q701" i="12"/>
  <c r="B135" i="12"/>
  <c r="Z397" i="12"/>
  <c r="B97" i="12"/>
  <c r="AB204" i="12"/>
  <c r="B210" i="12"/>
  <c r="M625" i="12"/>
  <c r="O625" i="12"/>
  <c r="U321" i="12"/>
  <c r="O71" i="12"/>
  <c r="P71" i="12" s="1"/>
  <c r="L60" i="12"/>
  <c r="L59" i="12"/>
  <c r="O67" i="12"/>
  <c r="P67" i="12" s="1"/>
  <c r="L62" i="12"/>
  <c r="L58" i="12"/>
  <c r="O70" i="12"/>
  <c r="P70" i="12" s="1"/>
  <c r="O69" i="12"/>
  <c r="P69" i="12" s="1"/>
  <c r="L61" i="12"/>
  <c r="O68" i="12"/>
  <c r="P68" i="12" s="1"/>
  <c r="V435" i="12"/>
  <c r="X434" i="12"/>
  <c r="Z434" i="12" s="1"/>
  <c r="Q283" i="12"/>
  <c r="S282" i="12"/>
  <c r="U282" i="12" s="1"/>
  <c r="P909" i="12"/>
  <c r="U814" i="12"/>
  <c r="X167" i="12"/>
  <c r="Z167" i="12" s="1"/>
  <c r="V168" i="12"/>
  <c r="Q853" i="12"/>
  <c r="S852" i="12"/>
  <c r="U852" i="12" s="1"/>
  <c r="L853" i="12"/>
  <c r="N852" i="12"/>
  <c r="P852" i="12" s="1"/>
  <c r="J473" i="12"/>
  <c r="H473" i="12"/>
  <c r="X91" i="12"/>
  <c r="Z91" i="12" s="1"/>
  <c r="V92" i="12"/>
  <c r="G815" i="12"/>
  <c r="I814" i="12"/>
  <c r="K814" i="12" s="1"/>
  <c r="L168" i="12"/>
  <c r="N167" i="12"/>
  <c r="P167" i="12" s="1"/>
  <c r="O321" i="12"/>
  <c r="M321" i="12"/>
  <c r="U15" i="12"/>
  <c r="Q21" i="12" s="1"/>
  <c r="R21" i="12" s="1"/>
  <c r="Q782" i="12"/>
  <c r="R782" i="12" s="1"/>
  <c r="AA776" i="12"/>
  <c r="B248" i="12"/>
  <c r="AB242" i="12"/>
  <c r="U91" i="12"/>
  <c r="B326" i="12"/>
  <c r="P110" i="12"/>
  <c r="S109" i="12" s="1"/>
  <c r="Y550" i="12"/>
  <c r="W550" i="12"/>
  <c r="X550" i="12" s="1"/>
  <c r="O566" i="12"/>
  <c r="P566" i="12" s="1"/>
  <c r="L555" i="12"/>
  <c r="L553" i="12"/>
  <c r="O562" i="12"/>
  <c r="P562" i="12" s="1"/>
  <c r="L557" i="12"/>
  <c r="O565" i="12"/>
  <c r="P565" i="12" s="1"/>
  <c r="O564" i="12"/>
  <c r="P564" i="12" s="1"/>
  <c r="L556" i="12"/>
  <c r="L554" i="12"/>
  <c r="O563" i="12"/>
  <c r="P563" i="12" s="1"/>
  <c r="L566" i="12"/>
  <c r="L33" i="12"/>
  <c r="O260" i="12"/>
  <c r="P260" i="12" s="1"/>
  <c r="O259" i="12"/>
  <c r="P259" i="12" s="1"/>
  <c r="L251" i="12"/>
  <c r="O258" i="12"/>
  <c r="P258" i="12" s="1"/>
  <c r="L249" i="12"/>
  <c r="O261" i="12"/>
  <c r="P261" i="12" s="1"/>
  <c r="L250" i="12"/>
  <c r="L248" i="12"/>
  <c r="O257" i="12"/>
  <c r="P257" i="12" s="1"/>
  <c r="L252" i="12"/>
  <c r="R54" i="12"/>
  <c r="T54" i="12"/>
  <c r="I852" i="12"/>
  <c r="K852" i="12" s="1"/>
  <c r="G853" i="12"/>
  <c r="L718" i="12"/>
  <c r="N472" i="12"/>
  <c r="P472" i="12" s="1"/>
  <c r="L473" i="12"/>
  <c r="G206" i="12"/>
  <c r="I205" i="12"/>
  <c r="K205" i="12" s="1"/>
  <c r="X852" i="12"/>
  <c r="Z852" i="12" s="1"/>
  <c r="V853" i="12"/>
  <c r="S777" i="12"/>
  <c r="U777" i="12" s="1"/>
  <c r="Q778" i="12"/>
  <c r="S205" i="12"/>
  <c r="U205" i="12" s="1"/>
  <c r="Q206" i="12"/>
  <c r="R359" i="12"/>
  <c r="T359" i="12"/>
  <c r="Q245" i="12"/>
  <c r="S244" i="12"/>
  <c r="U244" i="12" s="1"/>
  <c r="W625" i="12"/>
  <c r="Y625" i="12"/>
  <c r="H16" i="12"/>
  <c r="J16" i="12"/>
  <c r="L604" i="12"/>
  <c r="O701" i="12"/>
  <c r="M701" i="12"/>
  <c r="J435" i="12"/>
  <c r="H435" i="12"/>
  <c r="W206" i="12"/>
  <c r="Y206" i="12"/>
  <c r="K53" i="12"/>
  <c r="O184" i="12"/>
  <c r="P184" i="12" s="1"/>
  <c r="O182" i="12"/>
  <c r="P182" i="12" s="1"/>
  <c r="O181" i="12"/>
  <c r="P181" i="12" s="1"/>
  <c r="O185" i="12"/>
  <c r="P185" i="12" s="1"/>
  <c r="O183" i="12"/>
  <c r="P183" i="12" s="1"/>
  <c r="L174" i="12"/>
  <c r="L173" i="12"/>
  <c r="L172" i="12"/>
  <c r="L176" i="12"/>
  <c r="L175" i="12"/>
  <c r="V55" i="12"/>
  <c r="X54" i="12"/>
  <c r="Z54" i="12" s="1"/>
  <c r="P510" i="12"/>
  <c r="O54" i="12"/>
  <c r="M54" i="12"/>
  <c r="K510" i="12"/>
  <c r="Y359" i="12"/>
  <c r="W359" i="12"/>
  <c r="W777" i="12"/>
  <c r="Y777" i="12"/>
  <c r="Q397" i="12"/>
  <c r="S396" i="12"/>
  <c r="U396" i="12" s="1"/>
  <c r="E134" i="12"/>
  <c r="B819" i="12"/>
  <c r="AB813" i="12"/>
  <c r="H907" i="13"/>
  <c r="T891" i="13"/>
  <c r="R891" i="13"/>
  <c r="N890" i="13"/>
  <c r="L891" i="13"/>
  <c r="G892" i="13"/>
  <c r="I891" i="13"/>
  <c r="K891" i="13" s="1"/>
  <c r="I896" i="13"/>
  <c r="I895" i="13"/>
  <c r="K907" i="13"/>
  <c r="K905" i="13"/>
  <c r="L905" i="13" s="1"/>
  <c r="K904" i="13"/>
  <c r="L904" i="13" s="1"/>
  <c r="K906" i="13"/>
  <c r="L906" i="13" s="1"/>
  <c r="I898" i="13"/>
  <c r="I897" i="13"/>
  <c r="AC892" i="13"/>
  <c r="P890" i="13"/>
  <c r="W891" i="13"/>
  <c r="Y891" i="13"/>
  <c r="B896" i="13"/>
  <c r="B857" i="13"/>
  <c r="AB851" i="13"/>
  <c r="G853" i="13"/>
  <c r="I852" i="13"/>
  <c r="K852" i="13" s="1"/>
  <c r="O853" i="13"/>
  <c r="M853" i="13"/>
  <c r="R853" i="13"/>
  <c r="T853" i="13"/>
  <c r="L870" i="13"/>
  <c r="L859" i="13"/>
  <c r="L861" i="13"/>
  <c r="L858" i="13"/>
  <c r="L857" i="13"/>
  <c r="O870" i="13"/>
  <c r="P870" i="13" s="1"/>
  <c r="O868" i="13"/>
  <c r="P868" i="13" s="1"/>
  <c r="O869" i="13"/>
  <c r="P869" i="13" s="1"/>
  <c r="O867" i="13"/>
  <c r="P867" i="13" s="1"/>
  <c r="O866" i="13"/>
  <c r="P866" i="13" s="1"/>
  <c r="L860" i="13"/>
  <c r="V854" i="13"/>
  <c r="X853" i="13"/>
  <c r="Z853" i="13" s="1"/>
  <c r="L832" i="13"/>
  <c r="V816" i="13"/>
  <c r="X815" i="13"/>
  <c r="Z815" i="13" s="1"/>
  <c r="I814" i="13"/>
  <c r="G815" i="13"/>
  <c r="O832" i="13"/>
  <c r="P832" i="13" s="1"/>
  <c r="L823" i="13"/>
  <c r="L820" i="13"/>
  <c r="L819" i="13"/>
  <c r="O830" i="13"/>
  <c r="P830" i="13" s="1"/>
  <c r="L822" i="13"/>
  <c r="L821" i="13"/>
  <c r="O831" i="13"/>
  <c r="P831" i="13" s="1"/>
  <c r="O829" i="13"/>
  <c r="P829" i="13" s="1"/>
  <c r="O828" i="13"/>
  <c r="P828" i="13" s="1"/>
  <c r="B819" i="13"/>
  <c r="AB813" i="13"/>
  <c r="K814" i="13"/>
  <c r="O815" i="13"/>
  <c r="M815" i="13"/>
  <c r="R815" i="13"/>
  <c r="T815" i="13"/>
  <c r="V777" i="13"/>
  <c r="X776" i="13"/>
  <c r="Z776" i="13" s="1"/>
  <c r="L785" i="13"/>
  <c r="L782" i="13"/>
  <c r="L781" i="13"/>
  <c r="L783" i="13"/>
  <c r="O793" i="13"/>
  <c r="P793" i="13" s="1"/>
  <c r="O791" i="13"/>
  <c r="P791" i="13" s="1"/>
  <c r="O790" i="13"/>
  <c r="P790" i="13" s="1"/>
  <c r="O794" i="13"/>
  <c r="P794" i="13" s="1"/>
  <c r="O792" i="13"/>
  <c r="P792" i="13" s="1"/>
  <c r="L784" i="13"/>
  <c r="R777" i="13"/>
  <c r="T777" i="13"/>
  <c r="N776" i="13"/>
  <c r="P776" i="13" s="1"/>
  <c r="L777" i="13"/>
  <c r="I776" i="13"/>
  <c r="K776" i="13" s="1"/>
  <c r="G777" i="13"/>
  <c r="B781" i="13"/>
  <c r="AB775" i="13"/>
  <c r="L794" i="13"/>
  <c r="L747" i="13"/>
  <c r="L744" i="13"/>
  <c r="L743" i="13"/>
  <c r="O754" i="13"/>
  <c r="P754" i="13" s="1"/>
  <c r="L745" i="13"/>
  <c r="O755" i="13"/>
  <c r="P755" i="13" s="1"/>
  <c r="O753" i="13"/>
  <c r="P753" i="13" s="1"/>
  <c r="O752" i="13"/>
  <c r="P752" i="13" s="1"/>
  <c r="O756" i="13"/>
  <c r="P756" i="13" s="1"/>
  <c r="L746" i="13"/>
  <c r="L756" i="13"/>
  <c r="B743" i="13"/>
  <c r="AB737" i="13"/>
  <c r="K738" i="13"/>
  <c r="R739" i="13"/>
  <c r="T739" i="13"/>
  <c r="M739" i="13"/>
  <c r="O739" i="13"/>
  <c r="V740" i="13"/>
  <c r="X739" i="13"/>
  <c r="Z739" i="13" s="1"/>
  <c r="I738" i="13"/>
  <c r="G739" i="13"/>
  <c r="B705" i="13"/>
  <c r="H717" i="13"/>
  <c r="G702" i="13"/>
  <c r="I701" i="13"/>
  <c r="K701" i="13" s="1"/>
  <c r="W701" i="13"/>
  <c r="Y701" i="13"/>
  <c r="N700" i="13"/>
  <c r="P700" i="13" s="1"/>
  <c r="L701" i="13"/>
  <c r="B706" i="13"/>
  <c r="R701" i="13"/>
  <c r="T701" i="13"/>
  <c r="I706" i="13"/>
  <c r="I705" i="13"/>
  <c r="K717" i="13"/>
  <c r="K715" i="13"/>
  <c r="L715" i="13" s="1"/>
  <c r="K714" i="13"/>
  <c r="L714" i="13" s="1"/>
  <c r="K716" i="13"/>
  <c r="L716" i="13" s="1"/>
  <c r="I708" i="13"/>
  <c r="I707" i="13"/>
  <c r="AC702" i="13"/>
  <c r="L663" i="13"/>
  <c r="N662" i="13"/>
  <c r="O680" i="13"/>
  <c r="P680" i="13" s="1"/>
  <c r="O678" i="13"/>
  <c r="P678" i="13" s="1"/>
  <c r="L670" i="13"/>
  <c r="L669" i="13"/>
  <c r="L671" i="13"/>
  <c r="L668" i="13"/>
  <c r="L667" i="13"/>
  <c r="O679" i="13"/>
  <c r="P679" i="13" s="1"/>
  <c r="O677" i="13"/>
  <c r="P677" i="13" s="1"/>
  <c r="O676" i="13"/>
  <c r="P676" i="13" s="1"/>
  <c r="W663" i="13"/>
  <c r="Y663" i="13"/>
  <c r="L680" i="13"/>
  <c r="T663" i="13"/>
  <c r="R663" i="13"/>
  <c r="G664" i="13"/>
  <c r="I663" i="13"/>
  <c r="K663" i="13" s="1"/>
  <c r="P662" i="13"/>
  <c r="B668" i="13"/>
  <c r="V626" i="13"/>
  <c r="X625" i="13"/>
  <c r="Z625" i="13" s="1"/>
  <c r="B630" i="13"/>
  <c r="N624" i="13"/>
  <c r="L625" i="13"/>
  <c r="R626" i="13"/>
  <c r="S626" i="13" s="1"/>
  <c r="T626" i="13"/>
  <c r="P624" i="13"/>
  <c r="K626" i="13"/>
  <c r="O642" i="13"/>
  <c r="P642" i="13" s="1"/>
  <c r="O640" i="13"/>
  <c r="P640" i="13" s="1"/>
  <c r="L632" i="13"/>
  <c r="L631" i="13"/>
  <c r="O641" i="13"/>
  <c r="P641" i="13" s="1"/>
  <c r="O639" i="13"/>
  <c r="P639" i="13" s="1"/>
  <c r="O638" i="13"/>
  <c r="P638" i="13" s="1"/>
  <c r="L633" i="13"/>
  <c r="L629" i="13"/>
  <c r="L630" i="13"/>
  <c r="L642" i="13"/>
  <c r="L604" i="13"/>
  <c r="O604" i="13"/>
  <c r="P604" i="13" s="1"/>
  <c r="O602" i="13"/>
  <c r="P602" i="13" s="1"/>
  <c r="L594" i="13"/>
  <c r="L593" i="13"/>
  <c r="O603" i="13"/>
  <c r="P603" i="13" s="1"/>
  <c r="O601" i="13"/>
  <c r="P601" i="13" s="1"/>
  <c r="L595" i="13"/>
  <c r="L592" i="13"/>
  <c r="L591" i="13"/>
  <c r="O600" i="13"/>
  <c r="P600" i="13" s="1"/>
  <c r="P586" i="13"/>
  <c r="AA586" i="13" s="1"/>
  <c r="R587" i="13"/>
  <c r="T587" i="13"/>
  <c r="V588" i="13"/>
  <c r="X587" i="13"/>
  <c r="Z587" i="13" s="1"/>
  <c r="B591" i="13"/>
  <c r="AB585" i="13"/>
  <c r="J587" i="13"/>
  <c r="H587" i="13"/>
  <c r="N586" i="13"/>
  <c r="L587" i="13"/>
  <c r="L554" i="13"/>
  <c r="O564" i="13"/>
  <c r="P564" i="13" s="1"/>
  <c r="O563" i="13"/>
  <c r="P563" i="13" s="1"/>
  <c r="L553" i="13"/>
  <c r="O565" i="13"/>
  <c r="P565" i="13" s="1"/>
  <c r="O566" i="13"/>
  <c r="L557" i="13"/>
  <c r="P562" i="13"/>
  <c r="L566" i="13"/>
  <c r="P566" i="13"/>
  <c r="K550" i="13"/>
  <c r="R549" i="13"/>
  <c r="T549" i="13"/>
  <c r="N548" i="13"/>
  <c r="P548" i="13" s="1"/>
  <c r="L549" i="13"/>
  <c r="B554" i="13"/>
  <c r="I510" i="13"/>
  <c r="G511" i="13"/>
  <c r="R511" i="13"/>
  <c r="T511" i="13"/>
  <c r="K510" i="13"/>
  <c r="B515" i="13"/>
  <c r="AB509" i="13"/>
  <c r="V512" i="13"/>
  <c r="X511" i="13"/>
  <c r="Z511" i="13" s="1"/>
  <c r="M511" i="13"/>
  <c r="O511" i="13"/>
  <c r="L518" i="13"/>
  <c r="L519" i="13"/>
  <c r="L516" i="13"/>
  <c r="L515" i="13"/>
  <c r="O528" i="13"/>
  <c r="P528" i="13" s="1"/>
  <c r="O526" i="13"/>
  <c r="P526" i="13" s="1"/>
  <c r="L517" i="13"/>
  <c r="O527" i="13"/>
  <c r="P527" i="13" s="1"/>
  <c r="O525" i="13"/>
  <c r="P525" i="13" s="1"/>
  <c r="O524" i="13"/>
  <c r="P524" i="13" s="1"/>
  <c r="L528" i="13"/>
  <c r="L490" i="13"/>
  <c r="Q473" i="13"/>
  <c r="S472" i="13"/>
  <c r="AB471" i="13"/>
  <c r="B477" i="13"/>
  <c r="U472" i="13"/>
  <c r="G473" i="13"/>
  <c r="I472" i="13"/>
  <c r="K472" i="13" s="1"/>
  <c r="Y473" i="13"/>
  <c r="W473" i="13"/>
  <c r="L481" i="13"/>
  <c r="L478" i="13"/>
  <c r="L477" i="13"/>
  <c r="O489" i="13"/>
  <c r="P489" i="13" s="1"/>
  <c r="O487" i="13"/>
  <c r="P487" i="13" s="1"/>
  <c r="O486" i="13"/>
  <c r="P486" i="13" s="1"/>
  <c r="O490" i="13"/>
  <c r="P490" i="13" s="1"/>
  <c r="O488" i="13"/>
  <c r="P488" i="13" s="1"/>
  <c r="L480" i="13"/>
  <c r="L479" i="13"/>
  <c r="M473" i="13"/>
  <c r="O473" i="13"/>
  <c r="O452" i="13"/>
  <c r="P452" i="13" s="1"/>
  <c r="O450" i="13"/>
  <c r="P450" i="13" s="1"/>
  <c r="L442" i="13"/>
  <c r="L441" i="13"/>
  <c r="L439" i="13"/>
  <c r="O451" i="13"/>
  <c r="P451" i="13" s="1"/>
  <c r="O449" i="13"/>
  <c r="P449" i="13" s="1"/>
  <c r="O448" i="13"/>
  <c r="P448" i="13" s="1"/>
  <c r="L443" i="13"/>
  <c r="L440" i="13"/>
  <c r="L435" i="13"/>
  <c r="N434" i="13"/>
  <c r="P434" i="13" s="1"/>
  <c r="T435" i="13"/>
  <c r="R435" i="13"/>
  <c r="B440" i="13"/>
  <c r="G436" i="13"/>
  <c r="I435" i="13"/>
  <c r="K435" i="13" s="1"/>
  <c r="L452" i="13"/>
  <c r="W435" i="13"/>
  <c r="Y435" i="13"/>
  <c r="Z397" i="13"/>
  <c r="L414" i="13"/>
  <c r="V398" i="13"/>
  <c r="X397" i="13"/>
  <c r="O414" i="13"/>
  <c r="P414" i="13" s="1"/>
  <c r="O412" i="13"/>
  <c r="P412" i="13" s="1"/>
  <c r="L404" i="13"/>
  <c r="L403" i="13"/>
  <c r="O413" i="13"/>
  <c r="P413" i="13" s="1"/>
  <c r="O411" i="13"/>
  <c r="P411" i="13" s="1"/>
  <c r="O410" i="13"/>
  <c r="P410" i="13" s="1"/>
  <c r="L405" i="13"/>
  <c r="L401" i="13"/>
  <c r="L402" i="13"/>
  <c r="B402" i="13"/>
  <c r="N396" i="13"/>
  <c r="P396" i="13" s="1"/>
  <c r="L397" i="13"/>
  <c r="R398" i="13"/>
  <c r="S398" i="13" s="1"/>
  <c r="T398" i="13"/>
  <c r="K398" i="13"/>
  <c r="P377" i="13"/>
  <c r="S376" i="13" s="1"/>
  <c r="Q359" i="13"/>
  <c r="S358" i="13"/>
  <c r="U358" i="13" s="1"/>
  <c r="B364" i="13"/>
  <c r="L359" i="13"/>
  <c r="N358" i="13"/>
  <c r="P358" i="13" s="1"/>
  <c r="X358" i="13"/>
  <c r="V359" i="13"/>
  <c r="H359" i="13"/>
  <c r="J359" i="13"/>
  <c r="Z358" i="13"/>
  <c r="V322" i="13"/>
  <c r="X321" i="13"/>
  <c r="Z321" i="13" s="1"/>
  <c r="R321" i="13"/>
  <c r="T321" i="13"/>
  <c r="O338" i="13"/>
  <c r="P338" i="13" s="1"/>
  <c r="O336" i="13"/>
  <c r="P336" i="13" s="1"/>
  <c r="L328" i="13"/>
  <c r="L327" i="13"/>
  <c r="O337" i="13"/>
  <c r="P337" i="13" s="1"/>
  <c r="O334" i="13"/>
  <c r="P334" i="13" s="1"/>
  <c r="L329" i="13"/>
  <c r="L326" i="13"/>
  <c r="L325" i="13"/>
  <c r="O335" i="13"/>
  <c r="P335" i="13" s="1"/>
  <c r="L338" i="13"/>
  <c r="N320" i="13"/>
  <c r="P320" i="13" s="1"/>
  <c r="L321" i="13"/>
  <c r="B326" i="13"/>
  <c r="G322" i="13"/>
  <c r="I321" i="13"/>
  <c r="K321" i="13" s="1"/>
  <c r="P301" i="13"/>
  <c r="L300" i="13"/>
  <c r="P282" i="13"/>
  <c r="AB281" i="13"/>
  <c r="B287" i="13"/>
  <c r="S282" i="13"/>
  <c r="Q283" i="13"/>
  <c r="W283" i="13"/>
  <c r="Y283" i="13"/>
  <c r="G283" i="13"/>
  <c r="I282" i="13"/>
  <c r="K282" i="13" s="1"/>
  <c r="U282" i="13"/>
  <c r="L283" i="13"/>
  <c r="N282" i="13"/>
  <c r="L182" i="13"/>
  <c r="L107" i="13"/>
  <c r="AA90" i="13"/>
  <c r="O129" i="13"/>
  <c r="L261" i="13"/>
  <c r="G244" i="13"/>
  <c r="J244" i="13" s="1"/>
  <c r="Q20" i="13"/>
  <c r="R20" i="13" s="1"/>
  <c r="L105" i="13"/>
  <c r="Y244" i="13"/>
  <c r="W244" i="13"/>
  <c r="R53" i="13"/>
  <c r="T53" i="13"/>
  <c r="T245" i="13"/>
  <c r="R245" i="13"/>
  <c r="S245" i="13" s="1"/>
  <c r="R205" i="13"/>
  <c r="T205" i="13"/>
  <c r="L106" i="13"/>
  <c r="AA204" i="13"/>
  <c r="B210" i="13" s="1"/>
  <c r="L108" i="13"/>
  <c r="Q96" i="13"/>
  <c r="R96" i="13" s="1"/>
  <c r="Q249" i="13"/>
  <c r="R249" i="13" s="1"/>
  <c r="AA243" i="13"/>
  <c r="M244" i="13"/>
  <c r="O244" i="13"/>
  <c r="L252" i="13"/>
  <c r="L249" i="13"/>
  <c r="L248" i="13"/>
  <c r="O260" i="13"/>
  <c r="P260" i="13" s="1"/>
  <c r="O258" i="13"/>
  <c r="P258" i="13" s="1"/>
  <c r="O257" i="13"/>
  <c r="P257" i="13" s="1"/>
  <c r="O259" i="13"/>
  <c r="P259" i="13" s="1"/>
  <c r="L250" i="13"/>
  <c r="L251" i="13"/>
  <c r="O261" i="13"/>
  <c r="P261" i="13" s="1"/>
  <c r="B249" i="13"/>
  <c r="H222" i="13"/>
  <c r="W207" i="13"/>
  <c r="X207" i="13" s="1"/>
  <c r="Y207" i="13"/>
  <c r="O205" i="13"/>
  <c r="M205" i="13"/>
  <c r="J207" i="13"/>
  <c r="H207" i="13"/>
  <c r="I207" i="13" s="1"/>
  <c r="I211" i="13"/>
  <c r="I210" i="13"/>
  <c r="K222" i="13"/>
  <c r="L222" i="13" s="1"/>
  <c r="K220" i="13"/>
  <c r="L220" i="13" s="1"/>
  <c r="K219" i="13"/>
  <c r="L219" i="13" s="1"/>
  <c r="K221" i="13"/>
  <c r="L221" i="13" s="1"/>
  <c r="I213" i="13"/>
  <c r="I212" i="13"/>
  <c r="AC207" i="13"/>
  <c r="P181" i="13"/>
  <c r="P182" i="13"/>
  <c r="P183" i="13"/>
  <c r="M168" i="13"/>
  <c r="O168" i="13"/>
  <c r="Q168" i="13"/>
  <c r="S167" i="13"/>
  <c r="U167" i="13" s="1"/>
  <c r="H167" i="13"/>
  <c r="J167" i="13"/>
  <c r="P184" i="13"/>
  <c r="P185" i="13"/>
  <c r="Y167" i="13"/>
  <c r="W167" i="13"/>
  <c r="AA166" i="13"/>
  <c r="Q172" i="13"/>
  <c r="R172" i="13" s="1"/>
  <c r="Q130" i="13"/>
  <c r="S129" i="13"/>
  <c r="U129" i="13" s="1"/>
  <c r="J129" i="13"/>
  <c r="H129" i="13"/>
  <c r="H146" i="13"/>
  <c r="K146" i="13"/>
  <c r="K144" i="13"/>
  <c r="L144" i="13" s="1"/>
  <c r="K143" i="13"/>
  <c r="L143" i="13" s="1"/>
  <c r="K145" i="13"/>
  <c r="L145" i="13" s="1"/>
  <c r="I137" i="13"/>
  <c r="AC131" i="13"/>
  <c r="I136" i="13"/>
  <c r="I135" i="13"/>
  <c r="I134" i="13"/>
  <c r="Y130" i="13"/>
  <c r="W130" i="13"/>
  <c r="Q134" i="13"/>
  <c r="R134" i="13" s="1"/>
  <c r="AA128" i="13"/>
  <c r="N129" i="13"/>
  <c r="P129" i="13" s="1"/>
  <c r="L130" i="13"/>
  <c r="P106" i="13"/>
  <c r="P108" i="13"/>
  <c r="B96" i="13"/>
  <c r="AB90" i="13"/>
  <c r="T91" i="13"/>
  <c r="R91" i="13"/>
  <c r="Y91" i="13"/>
  <c r="W91" i="13"/>
  <c r="P107" i="13"/>
  <c r="M91" i="13"/>
  <c r="O91" i="13"/>
  <c r="P105" i="13"/>
  <c r="P109" i="13"/>
  <c r="H108" i="13"/>
  <c r="I91" i="13"/>
  <c r="K91" i="13" s="1"/>
  <c r="G92" i="13"/>
  <c r="J53" i="13"/>
  <c r="H53" i="13"/>
  <c r="I59" i="13"/>
  <c r="I58" i="13"/>
  <c r="K70" i="13"/>
  <c r="L70" i="13" s="1"/>
  <c r="K68" i="13"/>
  <c r="L68" i="13" s="1"/>
  <c r="K67" i="13"/>
  <c r="L67" i="13" s="1"/>
  <c r="K69" i="13"/>
  <c r="L69" i="13" s="1"/>
  <c r="I61" i="13"/>
  <c r="I60" i="13"/>
  <c r="AC55" i="13"/>
  <c r="W54" i="13"/>
  <c r="Y54" i="13"/>
  <c r="H70" i="13"/>
  <c r="AA52" i="13"/>
  <c r="Q58" i="13"/>
  <c r="R58" i="13" s="1"/>
  <c r="N53" i="13"/>
  <c r="P53" i="13" s="1"/>
  <c r="L54" i="13"/>
  <c r="B20" i="13"/>
  <c r="AB14" i="13"/>
  <c r="S15" i="13"/>
  <c r="Q16" i="13"/>
  <c r="Z15" i="13"/>
  <c r="I21" i="13"/>
  <c r="I20" i="13"/>
  <c r="K31" i="13"/>
  <c r="L31" i="13" s="1"/>
  <c r="I23" i="13"/>
  <c r="I22" i="13"/>
  <c r="K32" i="13"/>
  <c r="L32" i="13" s="1"/>
  <c r="K30" i="13"/>
  <c r="L30" i="13" s="1"/>
  <c r="K29" i="13"/>
  <c r="L29" i="13" s="1"/>
  <c r="L33" i="13" s="1"/>
  <c r="AC17" i="13"/>
  <c r="V16" i="13"/>
  <c r="X15" i="13"/>
  <c r="O15" i="13"/>
  <c r="M15" i="13"/>
  <c r="J16" i="13"/>
  <c r="H16" i="13"/>
  <c r="H32" i="13"/>
  <c r="U15" i="13"/>
  <c r="L14" i="11"/>
  <c r="N13" i="11"/>
  <c r="P13" i="11" s="1"/>
  <c r="H13" i="11"/>
  <c r="J13" i="11"/>
  <c r="T13" i="11"/>
  <c r="R13" i="11"/>
  <c r="Y13" i="11"/>
  <c r="W13" i="11"/>
  <c r="L18" i="11"/>
  <c r="L22" i="11"/>
  <c r="L19" i="11"/>
  <c r="L21" i="11"/>
  <c r="L20" i="11"/>
  <c r="P15" i="17" l="1"/>
  <c r="AA15" i="17" s="1"/>
  <c r="K18" i="17" s="1"/>
  <c r="M18" i="17" s="1"/>
  <c r="R18" i="11"/>
  <c r="P15" i="18"/>
  <c r="AA15" i="18" s="1"/>
  <c r="H19" i="18"/>
  <c r="H21" i="18"/>
  <c r="H19" i="17"/>
  <c r="H21" i="17"/>
  <c r="AB14" i="16"/>
  <c r="R20" i="16"/>
  <c r="H18" i="16"/>
  <c r="K15" i="16"/>
  <c r="P15" i="16"/>
  <c r="K778" i="6"/>
  <c r="K664" i="6"/>
  <c r="P626" i="6"/>
  <c r="Z436" i="6"/>
  <c r="U207" i="6"/>
  <c r="Q707" i="6"/>
  <c r="R707" i="6" s="1"/>
  <c r="AA701" i="6"/>
  <c r="AA397" i="6"/>
  <c r="Q403" i="6"/>
  <c r="R403" i="6" s="1"/>
  <c r="Q593" i="6"/>
  <c r="R593" i="6" s="1"/>
  <c r="AA587" i="6"/>
  <c r="W778" i="6"/>
  <c r="X778" i="6" s="1"/>
  <c r="Y778" i="6"/>
  <c r="AA815" i="6"/>
  <c r="Q821" i="6"/>
  <c r="R821" i="6" s="1"/>
  <c r="N853" i="6"/>
  <c r="L854" i="6"/>
  <c r="O664" i="6"/>
  <c r="M664" i="6"/>
  <c r="N664" i="6" s="1"/>
  <c r="O778" i="6"/>
  <c r="M778" i="6"/>
  <c r="N778" i="6" s="1"/>
  <c r="N168" i="6"/>
  <c r="L169" i="6"/>
  <c r="J854" i="6"/>
  <c r="H854" i="6"/>
  <c r="I854" i="6" s="1"/>
  <c r="M474" i="6"/>
  <c r="N474" i="6" s="1"/>
  <c r="O474" i="6"/>
  <c r="P474" i="6" s="1"/>
  <c r="G55" i="6"/>
  <c r="I54" i="6"/>
  <c r="K54" i="6" s="1"/>
  <c r="L93" i="6"/>
  <c r="N92" i="6"/>
  <c r="M55" i="6"/>
  <c r="N55" i="6" s="1"/>
  <c r="O55" i="6"/>
  <c r="Y588" i="6"/>
  <c r="W588" i="6"/>
  <c r="X588" i="6" s="1"/>
  <c r="K17" i="6"/>
  <c r="L740" i="6"/>
  <c r="N739" i="6"/>
  <c r="T245" i="6"/>
  <c r="U245" i="6" s="1"/>
  <c r="R245" i="6"/>
  <c r="S245" i="6" s="1"/>
  <c r="U474" i="6"/>
  <c r="I206" i="6"/>
  <c r="K206" i="6" s="1"/>
  <c r="G207" i="6"/>
  <c r="AB91" i="6"/>
  <c r="E96" i="6"/>
  <c r="T131" i="6"/>
  <c r="R131" i="6"/>
  <c r="S131" i="6" s="1"/>
  <c r="Y702" i="6"/>
  <c r="W702" i="6"/>
  <c r="X702" i="6" s="1"/>
  <c r="Y892" i="6"/>
  <c r="W892" i="6"/>
  <c r="X892" i="6" s="1"/>
  <c r="S511" i="6"/>
  <c r="U511" i="6" s="1"/>
  <c r="Q512" i="6"/>
  <c r="K473" i="6"/>
  <c r="X511" i="6"/>
  <c r="Z511" i="6" s="1"/>
  <c r="V512" i="6"/>
  <c r="Y474" i="6"/>
  <c r="W474" i="6"/>
  <c r="X474" i="6" s="1"/>
  <c r="E820" i="6"/>
  <c r="E821" i="6"/>
  <c r="S283" i="6"/>
  <c r="U283" i="6" s="1"/>
  <c r="Q284" i="6"/>
  <c r="P853" i="6"/>
  <c r="Q859" i="6" s="1"/>
  <c r="R859" i="6" s="1"/>
  <c r="S777" i="6"/>
  <c r="U777" i="6" s="1"/>
  <c r="Q778" i="6"/>
  <c r="I891" i="6"/>
  <c r="K891" i="6" s="1"/>
  <c r="G892" i="6"/>
  <c r="J816" i="6"/>
  <c r="K816" i="6" s="1"/>
  <c r="H816" i="6"/>
  <c r="I816" i="6" s="1"/>
  <c r="O284" i="6"/>
  <c r="M284" i="6"/>
  <c r="N284" i="6" s="1"/>
  <c r="J436" i="6"/>
  <c r="H436" i="6"/>
  <c r="I436" i="6" s="1"/>
  <c r="X739" i="6"/>
  <c r="V740" i="6"/>
  <c r="P491" i="6"/>
  <c r="S490" i="6" s="1"/>
  <c r="H588" i="6"/>
  <c r="I588" i="6" s="1"/>
  <c r="J588" i="6"/>
  <c r="P168" i="6"/>
  <c r="AA168" i="6" s="1"/>
  <c r="O816" i="6"/>
  <c r="M816" i="6"/>
  <c r="N816" i="6" s="1"/>
  <c r="W664" i="6"/>
  <c r="X664" i="6" s="1"/>
  <c r="Y664" i="6"/>
  <c r="Y207" i="6"/>
  <c r="W207" i="6"/>
  <c r="X207" i="6" s="1"/>
  <c r="P92" i="6"/>
  <c r="S663" i="6"/>
  <c r="Q664" i="6"/>
  <c r="Z55" i="6"/>
  <c r="K360" i="6"/>
  <c r="M207" i="6"/>
  <c r="N207" i="6" s="1"/>
  <c r="O207" i="6"/>
  <c r="P207" i="6" s="1"/>
  <c r="P739" i="6"/>
  <c r="S92" i="6"/>
  <c r="U92" i="6" s="1"/>
  <c r="Q93" i="6"/>
  <c r="T626" i="6"/>
  <c r="R626" i="6"/>
  <c r="S626" i="6" s="1"/>
  <c r="I244" i="6"/>
  <c r="K244" i="6" s="1"/>
  <c r="G245" i="6"/>
  <c r="K702" i="6"/>
  <c r="T360" i="6"/>
  <c r="R360" i="6"/>
  <c r="S360" i="6" s="1"/>
  <c r="X244" i="6"/>
  <c r="Z244" i="6" s="1"/>
  <c r="V245" i="6"/>
  <c r="P72" i="6"/>
  <c r="S71" i="6" s="1"/>
  <c r="AB662" i="6"/>
  <c r="E667" i="6"/>
  <c r="AB320" i="6"/>
  <c r="E325" i="6"/>
  <c r="AB738" i="6"/>
  <c r="E743" i="6"/>
  <c r="AB15" i="6"/>
  <c r="E20" i="6"/>
  <c r="N549" i="6"/>
  <c r="P549" i="6" s="1"/>
  <c r="L550" i="6"/>
  <c r="AB472" i="6"/>
  <c r="E477" i="6"/>
  <c r="AB624" i="6"/>
  <c r="E629" i="6"/>
  <c r="AB434" i="6"/>
  <c r="E439" i="6"/>
  <c r="E173" i="6"/>
  <c r="R436" i="6"/>
  <c r="S436" i="6" s="1"/>
  <c r="T436" i="6"/>
  <c r="R17" i="6"/>
  <c r="S17" i="6" s="1"/>
  <c r="T17" i="6"/>
  <c r="L245" i="6"/>
  <c r="N244" i="6"/>
  <c r="P244" i="6" s="1"/>
  <c r="E706" i="6"/>
  <c r="E707" i="6"/>
  <c r="Z739" i="6"/>
  <c r="T702" i="6"/>
  <c r="R702" i="6"/>
  <c r="S702" i="6" s="1"/>
  <c r="N435" i="6"/>
  <c r="P435" i="6" s="1"/>
  <c r="L436" i="6"/>
  <c r="R55" i="6"/>
  <c r="S55" i="6" s="1"/>
  <c r="T55" i="6"/>
  <c r="U55" i="6" s="1"/>
  <c r="R322" i="6"/>
  <c r="S322" i="6" s="1"/>
  <c r="T322" i="6"/>
  <c r="L131" i="6"/>
  <c r="N130" i="6"/>
  <c r="U663" i="6"/>
  <c r="AA663" i="6" s="1"/>
  <c r="R854" i="6"/>
  <c r="S854" i="6" s="1"/>
  <c r="T854" i="6"/>
  <c r="R550" i="6"/>
  <c r="S550" i="6" s="1"/>
  <c r="T550" i="6"/>
  <c r="U550" i="6" s="1"/>
  <c r="AB776" i="6"/>
  <c r="E781" i="6"/>
  <c r="G740" i="6"/>
  <c r="I739" i="6"/>
  <c r="K739" i="6" s="1"/>
  <c r="AA853" i="6"/>
  <c r="AB853" i="6" s="1"/>
  <c r="H858" i="6" s="1"/>
  <c r="AB510" i="6"/>
  <c r="E515" i="6"/>
  <c r="Q669" i="6"/>
  <c r="R669" i="6" s="1"/>
  <c r="AB852" i="6"/>
  <c r="E857" i="6"/>
  <c r="O512" i="6"/>
  <c r="P512" i="6" s="1"/>
  <c r="M512" i="6"/>
  <c r="N512" i="6" s="1"/>
  <c r="N16" i="6"/>
  <c r="L17" i="6"/>
  <c r="AB129" i="6"/>
  <c r="E134" i="6"/>
  <c r="E364" i="6"/>
  <c r="AB205" i="6"/>
  <c r="E210" i="6"/>
  <c r="E592" i="6"/>
  <c r="E593" i="6"/>
  <c r="H93" i="6"/>
  <c r="I93" i="6" s="1"/>
  <c r="J93" i="6"/>
  <c r="P360" i="6"/>
  <c r="Q740" i="6"/>
  <c r="S739" i="6"/>
  <c r="U739" i="6" s="1"/>
  <c r="N891" i="6"/>
  <c r="P891" i="6" s="1"/>
  <c r="L892" i="6"/>
  <c r="P130" i="6"/>
  <c r="X92" i="6"/>
  <c r="Z92" i="6" s="1"/>
  <c r="V93" i="6"/>
  <c r="J322" i="6"/>
  <c r="K322" i="6" s="1"/>
  <c r="H322" i="6"/>
  <c r="I322" i="6" s="1"/>
  <c r="U398" i="6"/>
  <c r="X359" i="6"/>
  <c r="Z359" i="6" s="1"/>
  <c r="V360" i="6"/>
  <c r="AB548" i="6"/>
  <c r="E553" i="6"/>
  <c r="R169" i="6"/>
  <c r="S169" i="6" s="1"/>
  <c r="T169" i="6"/>
  <c r="U169" i="6" s="1"/>
  <c r="J169" i="6"/>
  <c r="H169" i="6"/>
  <c r="I169" i="6" s="1"/>
  <c r="N321" i="6"/>
  <c r="P321" i="6" s="1"/>
  <c r="L322" i="6"/>
  <c r="M588" i="6"/>
  <c r="N588" i="6" s="1"/>
  <c r="O588" i="6"/>
  <c r="U588" i="6"/>
  <c r="E402" i="6"/>
  <c r="E403" i="6"/>
  <c r="M702" i="6"/>
  <c r="N702" i="6" s="1"/>
  <c r="O702" i="6"/>
  <c r="AB282" i="6"/>
  <c r="E287" i="6"/>
  <c r="AB243" i="6"/>
  <c r="E248" i="6"/>
  <c r="P16" i="6"/>
  <c r="AB890" i="6"/>
  <c r="E895" i="6"/>
  <c r="O398" i="6"/>
  <c r="M398" i="6"/>
  <c r="N398" i="6" s="1"/>
  <c r="G474" i="6"/>
  <c r="I473" i="6"/>
  <c r="AB53" i="6"/>
  <c r="E58" i="6"/>
  <c r="X625" i="6"/>
  <c r="Z625" i="6" s="1"/>
  <c r="Q631" i="6" s="1"/>
  <c r="R631" i="6" s="1"/>
  <c r="V626" i="6"/>
  <c r="Z854" i="5"/>
  <c r="P529" i="5"/>
  <c r="S528" i="5" s="1"/>
  <c r="K360" i="5"/>
  <c r="P360" i="5"/>
  <c r="Q631" i="5"/>
  <c r="R631" i="5" s="1"/>
  <c r="AA625" i="5"/>
  <c r="AB776" i="5"/>
  <c r="E781" i="5"/>
  <c r="L664" i="5"/>
  <c r="N663" i="5"/>
  <c r="P663" i="5" s="1"/>
  <c r="L207" i="5"/>
  <c r="N206" i="5"/>
  <c r="P206" i="5" s="1"/>
  <c r="Q245" i="5"/>
  <c r="S244" i="5"/>
  <c r="Q17" i="5"/>
  <c r="S16" i="5"/>
  <c r="U16" i="5" s="1"/>
  <c r="X435" i="5"/>
  <c r="Z435" i="5" s="1"/>
  <c r="V436" i="5"/>
  <c r="X777" i="5"/>
  <c r="Z777" i="5" s="1"/>
  <c r="V778" i="5"/>
  <c r="Y664" i="5"/>
  <c r="W664" i="5"/>
  <c r="X664" i="5" s="1"/>
  <c r="Q360" i="5"/>
  <c r="S359" i="5"/>
  <c r="U359" i="5" s="1"/>
  <c r="G588" i="5"/>
  <c r="I587" i="5"/>
  <c r="H740" i="5"/>
  <c r="I740" i="5" s="1"/>
  <c r="J740" i="5"/>
  <c r="K740" i="5" s="1"/>
  <c r="E478" i="5"/>
  <c r="E479" i="5"/>
  <c r="Q664" i="5"/>
  <c r="S663" i="5"/>
  <c r="U663" i="5" s="1"/>
  <c r="H55" i="5"/>
  <c r="I55" i="5" s="1"/>
  <c r="J55" i="5"/>
  <c r="K55" i="5" s="1"/>
  <c r="N549" i="5"/>
  <c r="P549" i="5" s="1"/>
  <c r="L550" i="5"/>
  <c r="J474" i="5"/>
  <c r="K474" i="5" s="1"/>
  <c r="H474" i="5"/>
  <c r="I474" i="5" s="1"/>
  <c r="J322" i="5"/>
  <c r="H322" i="5"/>
  <c r="I322" i="5" s="1"/>
  <c r="AB510" i="5"/>
  <c r="E515" i="5"/>
  <c r="K435" i="5"/>
  <c r="L854" i="5"/>
  <c r="N853" i="5"/>
  <c r="P853" i="5" s="1"/>
  <c r="I511" i="5"/>
  <c r="K511" i="5" s="1"/>
  <c r="G512" i="5"/>
  <c r="W550" i="5"/>
  <c r="X550" i="5" s="1"/>
  <c r="Y550" i="5"/>
  <c r="K549" i="5"/>
  <c r="J702" i="5"/>
  <c r="H702" i="5"/>
  <c r="I702" i="5" s="1"/>
  <c r="AB548" i="5"/>
  <c r="E553" i="5"/>
  <c r="AB15" i="5"/>
  <c r="E20" i="5"/>
  <c r="AB320" i="5"/>
  <c r="E325" i="5"/>
  <c r="AB434" i="5"/>
  <c r="E439" i="5"/>
  <c r="AB890" i="5"/>
  <c r="E895" i="5"/>
  <c r="AB814" i="5"/>
  <c r="E819" i="5"/>
  <c r="S130" i="5"/>
  <c r="U130" i="5" s="1"/>
  <c r="Q131" i="5"/>
  <c r="V131" i="5"/>
  <c r="X130" i="5"/>
  <c r="Z130" i="5" s="1"/>
  <c r="Q436" i="5"/>
  <c r="S435" i="5"/>
  <c r="U435" i="5" s="1"/>
  <c r="P815" i="5"/>
  <c r="Q816" i="5"/>
  <c r="S815" i="5"/>
  <c r="U284" i="5"/>
  <c r="Y512" i="5"/>
  <c r="W512" i="5"/>
  <c r="X512" i="5" s="1"/>
  <c r="AB243" i="5"/>
  <c r="E248" i="5"/>
  <c r="L740" i="5"/>
  <c r="N739" i="5"/>
  <c r="P739" i="5" s="1"/>
  <c r="O436" i="5"/>
  <c r="M436" i="5"/>
  <c r="N436" i="5" s="1"/>
  <c r="Q479" i="5"/>
  <c r="R479" i="5" s="1"/>
  <c r="AA473" i="5"/>
  <c r="V55" i="5"/>
  <c r="X54" i="5"/>
  <c r="Z54" i="5" s="1"/>
  <c r="X283" i="5"/>
  <c r="Z283" i="5" s="1"/>
  <c r="V284" i="5"/>
  <c r="I815" i="5"/>
  <c r="K815" i="5" s="1"/>
  <c r="G816" i="5"/>
  <c r="L512" i="5"/>
  <c r="N511" i="5"/>
  <c r="P511" i="5" s="1"/>
  <c r="E402" i="5"/>
  <c r="E403" i="5"/>
  <c r="P224" i="5"/>
  <c r="S223" i="5" s="1"/>
  <c r="O55" i="5"/>
  <c r="M55" i="5"/>
  <c r="N55" i="5" s="1"/>
  <c r="I663" i="5"/>
  <c r="K663" i="5" s="1"/>
  <c r="G664" i="5"/>
  <c r="I435" i="5"/>
  <c r="G436" i="5"/>
  <c r="L93" i="5"/>
  <c r="N92" i="5"/>
  <c r="P92" i="5" s="1"/>
  <c r="V322" i="5"/>
  <c r="X321" i="5"/>
  <c r="I168" i="5"/>
  <c r="K168" i="5" s="1"/>
  <c r="G169" i="5"/>
  <c r="S206" i="5"/>
  <c r="U206" i="5" s="1"/>
  <c r="Q207" i="5"/>
  <c r="L169" i="5"/>
  <c r="N168" i="5"/>
  <c r="P168" i="5" s="1"/>
  <c r="Z892" i="5"/>
  <c r="I244" i="5"/>
  <c r="K244" i="5" s="1"/>
  <c r="G245" i="5"/>
  <c r="AB53" i="5"/>
  <c r="E58" i="5"/>
  <c r="L17" i="5"/>
  <c r="N16" i="5"/>
  <c r="P16" i="5" s="1"/>
  <c r="L588" i="5"/>
  <c r="N587" i="5"/>
  <c r="P587" i="5" s="1"/>
  <c r="L816" i="5"/>
  <c r="N815" i="5"/>
  <c r="I891" i="5"/>
  <c r="G892" i="5"/>
  <c r="U815" i="5"/>
  <c r="M892" i="5"/>
  <c r="N892" i="5" s="1"/>
  <c r="O892" i="5"/>
  <c r="X739" i="5"/>
  <c r="V740" i="5"/>
  <c r="Y626" i="5"/>
  <c r="W626" i="5"/>
  <c r="X626" i="5" s="1"/>
  <c r="L284" i="5"/>
  <c r="N283" i="5"/>
  <c r="Q550" i="5"/>
  <c r="S549" i="5"/>
  <c r="U549" i="5" s="1"/>
  <c r="X815" i="5"/>
  <c r="Z815" i="5" s="1"/>
  <c r="V816" i="5"/>
  <c r="V207" i="5"/>
  <c r="X206" i="5"/>
  <c r="Z206" i="5" s="1"/>
  <c r="Q740" i="5"/>
  <c r="S739" i="5"/>
  <c r="U739" i="5" s="1"/>
  <c r="T55" i="5"/>
  <c r="R55" i="5"/>
  <c r="S55" i="5" s="1"/>
  <c r="E630" i="5"/>
  <c r="E631" i="5"/>
  <c r="H93" i="5"/>
  <c r="I93" i="5" s="1"/>
  <c r="J93" i="5"/>
  <c r="L131" i="5"/>
  <c r="N130" i="5"/>
  <c r="P130" i="5" s="1"/>
  <c r="Q512" i="5"/>
  <c r="S511" i="5"/>
  <c r="U511" i="5" s="1"/>
  <c r="Z474" i="5"/>
  <c r="K206" i="5"/>
  <c r="Z321" i="5"/>
  <c r="V17" i="5"/>
  <c r="X16" i="5"/>
  <c r="Z16" i="5" s="1"/>
  <c r="P321" i="5"/>
  <c r="J17" i="5"/>
  <c r="H17" i="5"/>
  <c r="I17" i="5" s="1"/>
  <c r="Q322" i="5"/>
  <c r="S321" i="5"/>
  <c r="U321" i="5" s="1"/>
  <c r="O398" i="5"/>
  <c r="M398" i="5"/>
  <c r="N398" i="5" s="1"/>
  <c r="AB586" i="5"/>
  <c r="E591" i="5"/>
  <c r="E97" i="5"/>
  <c r="AA397" i="5"/>
  <c r="AB662" i="5"/>
  <c r="E667" i="5"/>
  <c r="G284" i="5"/>
  <c r="I283" i="5"/>
  <c r="K283" i="5" s="1"/>
  <c r="S587" i="5"/>
  <c r="U587" i="5" s="1"/>
  <c r="Q588" i="5"/>
  <c r="U244" i="5"/>
  <c r="W702" i="5"/>
  <c r="X702" i="5" s="1"/>
  <c r="Y702" i="5"/>
  <c r="T778" i="5"/>
  <c r="R778" i="5"/>
  <c r="S778" i="5" s="1"/>
  <c r="K891" i="5"/>
  <c r="K587" i="5"/>
  <c r="S853" i="5"/>
  <c r="U853" i="5" s="1"/>
  <c r="Q854" i="5"/>
  <c r="K398" i="5"/>
  <c r="AA701" i="5"/>
  <c r="Q707" i="5"/>
  <c r="R707" i="5" s="1"/>
  <c r="Z739" i="5"/>
  <c r="N244" i="5"/>
  <c r="P244" i="5" s="1"/>
  <c r="L245" i="5"/>
  <c r="P283" i="5"/>
  <c r="X587" i="5"/>
  <c r="Z587" i="5" s="1"/>
  <c r="V588" i="5"/>
  <c r="V169" i="5"/>
  <c r="X168" i="5"/>
  <c r="Z168" i="5" s="1"/>
  <c r="V245" i="5"/>
  <c r="X244" i="5"/>
  <c r="Z244" i="5" s="1"/>
  <c r="Y93" i="5"/>
  <c r="W93" i="5"/>
  <c r="X93" i="5" s="1"/>
  <c r="AB358" i="5"/>
  <c r="E363" i="5"/>
  <c r="R93" i="5"/>
  <c r="S93" i="5" s="1"/>
  <c r="T93" i="5"/>
  <c r="AB205" i="5"/>
  <c r="E210" i="5"/>
  <c r="G854" i="5"/>
  <c r="I853" i="5"/>
  <c r="K853" i="5" s="1"/>
  <c r="E706" i="5"/>
  <c r="E707" i="5"/>
  <c r="O702" i="5"/>
  <c r="M702" i="5"/>
  <c r="N702" i="5" s="1"/>
  <c r="AB129" i="5"/>
  <c r="E134" i="5"/>
  <c r="G207" i="5"/>
  <c r="I206" i="5"/>
  <c r="AB852" i="5"/>
  <c r="E857" i="5"/>
  <c r="P626" i="5"/>
  <c r="L322" i="5"/>
  <c r="N321" i="5"/>
  <c r="G550" i="5"/>
  <c r="I549" i="5"/>
  <c r="M474" i="5"/>
  <c r="N474" i="5" s="1"/>
  <c r="O474" i="5"/>
  <c r="P474" i="5" s="1"/>
  <c r="X359" i="5"/>
  <c r="Z359" i="5" s="1"/>
  <c r="V360" i="5"/>
  <c r="J626" i="5"/>
  <c r="H626" i="5"/>
  <c r="I626" i="5" s="1"/>
  <c r="AB738" i="5"/>
  <c r="E743" i="5"/>
  <c r="AB167" i="5"/>
  <c r="E172" i="5"/>
  <c r="AB282" i="5"/>
  <c r="E287" i="5"/>
  <c r="P262" i="12"/>
  <c r="S261" i="12" s="1"/>
  <c r="P757" i="12"/>
  <c r="S756" i="12" s="1"/>
  <c r="P719" i="12"/>
  <c r="S718" i="12" s="1"/>
  <c r="S604" i="12"/>
  <c r="Z550" i="12"/>
  <c r="P529" i="12"/>
  <c r="P453" i="12"/>
  <c r="S452" i="12" s="1"/>
  <c r="P224" i="12"/>
  <c r="S223" i="12"/>
  <c r="Z131" i="12"/>
  <c r="Q211" i="12"/>
  <c r="R211" i="12" s="1"/>
  <c r="AA205" i="12"/>
  <c r="Q173" i="12"/>
  <c r="R173" i="12" s="1"/>
  <c r="AA167" i="12"/>
  <c r="AA434" i="12"/>
  <c r="Q440" i="12"/>
  <c r="R440" i="12" s="1"/>
  <c r="Q858" i="12"/>
  <c r="R858" i="12" s="1"/>
  <c r="AA852" i="12"/>
  <c r="Q288" i="12"/>
  <c r="R288" i="12" s="1"/>
  <c r="AA282" i="12"/>
  <c r="Q249" i="12"/>
  <c r="R249" i="12" s="1"/>
  <c r="AA243" i="12"/>
  <c r="Q402" i="12"/>
  <c r="R402" i="12" s="1"/>
  <c r="AA396" i="12"/>
  <c r="AA472" i="12"/>
  <c r="Q478" i="12"/>
  <c r="R478" i="12" s="1"/>
  <c r="AA700" i="12"/>
  <c r="Q706" i="12"/>
  <c r="R706" i="12" s="1"/>
  <c r="Q364" i="12"/>
  <c r="R364" i="12" s="1"/>
  <c r="AA358" i="12"/>
  <c r="Q896" i="12"/>
  <c r="R896" i="12" s="1"/>
  <c r="AA890" i="12"/>
  <c r="B706" i="12"/>
  <c r="S891" i="12"/>
  <c r="Q892" i="12"/>
  <c r="V474" i="12"/>
  <c r="X473" i="12"/>
  <c r="B173" i="12"/>
  <c r="H93" i="12"/>
  <c r="I93" i="12" s="1"/>
  <c r="J93" i="12"/>
  <c r="T92" i="12"/>
  <c r="R92" i="12"/>
  <c r="T663" i="12"/>
  <c r="R663" i="12"/>
  <c r="L398" i="12"/>
  <c r="N397" i="12"/>
  <c r="B744" i="12"/>
  <c r="T587" i="12"/>
  <c r="R587" i="12"/>
  <c r="L436" i="12"/>
  <c r="N435" i="12"/>
  <c r="P435" i="12" s="1"/>
  <c r="Y284" i="12"/>
  <c r="W284" i="12"/>
  <c r="X284" i="12" s="1"/>
  <c r="Q820" i="12"/>
  <c r="R820" i="12" s="1"/>
  <c r="AA814" i="12"/>
  <c r="G322" i="12"/>
  <c r="I321" i="12"/>
  <c r="V892" i="12"/>
  <c r="X891" i="12"/>
  <c r="Z891" i="12" s="1"/>
  <c r="Q97" i="12"/>
  <c r="R97" i="12" s="1"/>
  <c r="AA91" i="12"/>
  <c r="N244" i="12"/>
  <c r="L245" i="12"/>
  <c r="B59" i="12"/>
  <c r="J663" i="12"/>
  <c r="H663" i="12"/>
  <c r="O815" i="12"/>
  <c r="M815" i="12"/>
  <c r="H168" i="12"/>
  <c r="J168" i="12"/>
  <c r="H511" i="12"/>
  <c r="J511" i="12"/>
  <c r="R815" i="12"/>
  <c r="T815" i="12"/>
  <c r="R397" i="12"/>
  <c r="T397" i="12"/>
  <c r="G436" i="12"/>
  <c r="I435" i="12"/>
  <c r="K435" i="12" s="1"/>
  <c r="R245" i="12"/>
  <c r="S245" i="12" s="1"/>
  <c r="T245" i="12"/>
  <c r="U245" i="12" s="1"/>
  <c r="H206" i="12"/>
  <c r="J206" i="12"/>
  <c r="H853" i="12"/>
  <c r="J853" i="12"/>
  <c r="Q55" i="12"/>
  <c r="S54" i="12"/>
  <c r="P567" i="12"/>
  <c r="B249" i="12"/>
  <c r="N321" i="12"/>
  <c r="L322" i="12"/>
  <c r="M853" i="12"/>
  <c r="O853" i="12"/>
  <c r="Y168" i="12"/>
  <c r="W168" i="12"/>
  <c r="T283" i="12"/>
  <c r="R283" i="12"/>
  <c r="W435" i="12"/>
  <c r="Y435" i="12"/>
  <c r="P72" i="12"/>
  <c r="S71" i="12" s="1"/>
  <c r="U550" i="12"/>
  <c r="Z473" i="12"/>
  <c r="J131" i="12"/>
  <c r="K131" i="12" s="1"/>
  <c r="H131" i="12"/>
  <c r="I131" i="12" s="1"/>
  <c r="O739" i="12"/>
  <c r="M739" i="12"/>
  <c r="Z16" i="12"/>
  <c r="G778" i="12"/>
  <c r="I777" i="12"/>
  <c r="Y815" i="12"/>
  <c r="W815" i="12"/>
  <c r="L671" i="12"/>
  <c r="L668" i="12"/>
  <c r="L667" i="12"/>
  <c r="O680" i="12"/>
  <c r="P680" i="12" s="1"/>
  <c r="O676" i="12"/>
  <c r="P676" i="12" s="1"/>
  <c r="O679" i="12"/>
  <c r="P679" i="12" s="1"/>
  <c r="L670" i="12"/>
  <c r="L669" i="12"/>
  <c r="O677" i="12"/>
  <c r="P677" i="12" s="1"/>
  <c r="O678" i="12"/>
  <c r="P678" i="12" s="1"/>
  <c r="O832" i="12"/>
  <c r="P832" i="12" s="1"/>
  <c r="O831" i="12"/>
  <c r="P831" i="12" s="1"/>
  <c r="O829" i="12"/>
  <c r="P829" i="12" s="1"/>
  <c r="O828" i="12"/>
  <c r="P828" i="12" s="1"/>
  <c r="L823" i="12"/>
  <c r="L820" i="12"/>
  <c r="L819" i="12"/>
  <c r="O830" i="12"/>
  <c r="P830" i="12" s="1"/>
  <c r="L822" i="12"/>
  <c r="L821" i="12"/>
  <c r="B592" i="12"/>
  <c r="Y398" i="12"/>
  <c r="W398" i="12"/>
  <c r="X398" i="12" s="1"/>
  <c r="L207" i="12"/>
  <c r="N206" i="12"/>
  <c r="P206" i="12" s="1"/>
  <c r="K321" i="12"/>
  <c r="S435" i="12"/>
  <c r="U435" i="12" s="1"/>
  <c r="Q436" i="12"/>
  <c r="W701" i="12"/>
  <c r="Y701" i="12"/>
  <c r="N549" i="12"/>
  <c r="P549" i="12" s="1"/>
  <c r="L550" i="12"/>
  <c r="G892" i="12"/>
  <c r="I891" i="12"/>
  <c r="K891" i="12" s="1"/>
  <c r="W322" i="12"/>
  <c r="X322" i="12" s="1"/>
  <c r="Y322" i="12"/>
  <c r="T168" i="12"/>
  <c r="R168" i="12"/>
  <c r="T739" i="12"/>
  <c r="R739" i="12"/>
  <c r="Y663" i="12"/>
  <c r="W663" i="12"/>
  <c r="AB624" i="12"/>
  <c r="E629" i="12"/>
  <c r="E554" i="12"/>
  <c r="E555" i="12"/>
  <c r="Q516" i="12"/>
  <c r="R516" i="12" s="1"/>
  <c r="AA510" i="12"/>
  <c r="G17" i="12"/>
  <c r="I16" i="12"/>
  <c r="T206" i="12"/>
  <c r="R206" i="12"/>
  <c r="Y92" i="12"/>
  <c r="W92" i="12"/>
  <c r="Q592" i="12"/>
  <c r="R592" i="12" s="1"/>
  <c r="AA586" i="12"/>
  <c r="N625" i="12"/>
  <c r="L626" i="12"/>
  <c r="V360" i="12"/>
  <c r="X359" i="12"/>
  <c r="N54" i="12"/>
  <c r="P54" i="12" s="1"/>
  <c r="L55" i="12"/>
  <c r="AA53" i="12"/>
  <c r="Q59" i="12"/>
  <c r="R59" i="12" s="1"/>
  <c r="V626" i="12"/>
  <c r="X625" i="12"/>
  <c r="Z625" i="12" s="1"/>
  <c r="Y853" i="12"/>
  <c r="W853" i="12"/>
  <c r="M473" i="12"/>
  <c r="O473" i="12"/>
  <c r="S566" i="12"/>
  <c r="AB776" i="12"/>
  <c r="E781" i="12"/>
  <c r="P321" i="12"/>
  <c r="I473" i="12"/>
  <c r="K473" i="12" s="1"/>
  <c r="G474" i="12"/>
  <c r="B211" i="12"/>
  <c r="O587" i="12"/>
  <c r="M587" i="12"/>
  <c r="M511" i="12"/>
  <c r="O511" i="12"/>
  <c r="J54" i="12"/>
  <c r="H54" i="12"/>
  <c r="J550" i="12"/>
  <c r="H550" i="12"/>
  <c r="I550" i="12" s="1"/>
  <c r="AA662" i="12"/>
  <c r="Q668" i="12"/>
  <c r="R668" i="12" s="1"/>
  <c r="X16" i="12"/>
  <c r="V17" i="12"/>
  <c r="T16" i="12"/>
  <c r="R16" i="12"/>
  <c r="K777" i="12"/>
  <c r="V245" i="12"/>
  <c r="X244" i="12"/>
  <c r="Z244" i="12" s="1"/>
  <c r="B364" i="12"/>
  <c r="Y587" i="12"/>
  <c r="W587" i="12"/>
  <c r="Q744" i="12"/>
  <c r="R744" i="12" s="1"/>
  <c r="AA738" i="12"/>
  <c r="J398" i="12"/>
  <c r="K398" i="12" s="1"/>
  <c r="H398" i="12"/>
  <c r="I398" i="12" s="1"/>
  <c r="L832" i="12"/>
  <c r="B896" i="12"/>
  <c r="B516" i="12"/>
  <c r="H739" i="12"/>
  <c r="J739" i="12"/>
  <c r="Y512" i="12"/>
  <c r="W512" i="12"/>
  <c r="X512" i="12" s="1"/>
  <c r="P130" i="12"/>
  <c r="Q136" i="12" s="1"/>
  <c r="R136" i="12" s="1"/>
  <c r="M663" i="12"/>
  <c r="O663" i="12"/>
  <c r="S528" i="12"/>
  <c r="R322" i="12"/>
  <c r="S322" i="12" s="1"/>
  <c r="T322" i="12"/>
  <c r="U322" i="12" s="1"/>
  <c r="O284" i="12"/>
  <c r="M284" i="12"/>
  <c r="N284" i="12" s="1"/>
  <c r="B668" i="12"/>
  <c r="P34" i="12"/>
  <c r="S33" i="12" s="1"/>
  <c r="AA15" i="12"/>
  <c r="H587" i="12"/>
  <c r="J587" i="12"/>
  <c r="X206" i="12"/>
  <c r="Z206" i="12" s="1"/>
  <c r="V207" i="12"/>
  <c r="U54" i="12"/>
  <c r="M168" i="12"/>
  <c r="O168" i="12"/>
  <c r="B820" i="12"/>
  <c r="V778" i="12"/>
  <c r="X777" i="12"/>
  <c r="Z777" i="12" s="1"/>
  <c r="Z359" i="12"/>
  <c r="Y55" i="12"/>
  <c r="W55" i="12"/>
  <c r="X55" i="12" s="1"/>
  <c r="P186" i="12"/>
  <c r="S185" i="12" s="1"/>
  <c r="L702" i="12"/>
  <c r="N701" i="12"/>
  <c r="P701" i="12" s="1"/>
  <c r="K16" i="12"/>
  <c r="Q360" i="12"/>
  <c r="S359" i="12"/>
  <c r="U359" i="12" s="1"/>
  <c r="R778" i="12"/>
  <c r="S778" i="12" s="1"/>
  <c r="T778" i="12"/>
  <c r="U778" i="12" s="1"/>
  <c r="J815" i="12"/>
  <c r="H815" i="12"/>
  <c r="T853" i="12"/>
  <c r="R853" i="12"/>
  <c r="P625" i="12"/>
  <c r="T701" i="12"/>
  <c r="R701" i="12"/>
  <c r="J359" i="12"/>
  <c r="H359" i="12"/>
  <c r="O891" i="12"/>
  <c r="M891" i="12"/>
  <c r="U891" i="12"/>
  <c r="O92" i="12"/>
  <c r="M92" i="12"/>
  <c r="R626" i="12"/>
  <c r="S626" i="12" s="1"/>
  <c r="T626" i="12"/>
  <c r="P397" i="12"/>
  <c r="Q512" i="12"/>
  <c r="S511" i="12"/>
  <c r="U511" i="12" s="1"/>
  <c r="L680" i="12"/>
  <c r="J244" i="12"/>
  <c r="H244" i="12"/>
  <c r="N777" i="12"/>
  <c r="P777" i="12" s="1"/>
  <c r="L778" i="12"/>
  <c r="B402" i="12"/>
  <c r="Q474" i="12"/>
  <c r="S473" i="12"/>
  <c r="U473" i="12" s="1"/>
  <c r="G284" i="12"/>
  <c r="I283" i="12"/>
  <c r="K283" i="12" s="1"/>
  <c r="R131" i="12"/>
  <c r="S131" i="12" s="1"/>
  <c r="T131" i="12"/>
  <c r="P244" i="12"/>
  <c r="AB320" i="12"/>
  <c r="E325" i="12"/>
  <c r="N359" i="12"/>
  <c r="P359" i="12" s="1"/>
  <c r="L360" i="12"/>
  <c r="N130" i="12"/>
  <c r="L131" i="12"/>
  <c r="B858" i="12"/>
  <c r="G702" i="12"/>
  <c r="I701" i="12"/>
  <c r="K701" i="12" s="1"/>
  <c r="W739" i="12"/>
  <c r="Y739" i="12"/>
  <c r="M17" i="12"/>
  <c r="N17" i="12" s="1"/>
  <c r="O17" i="12"/>
  <c r="G626" i="12"/>
  <c r="I625" i="12"/>
  <c r="K625" i="12" s="1"/>
  <c r="L908" i="13"/>
  <c r="Z891" i="13"/>
  <c r="O908" i="13"/>
  <c r="P908" i="13" s="1"/>
  <c r="O906" i="13"/>
  <c r="P906" i="13" s="1"/>
  <c r="L898" i="13"/>
  <c r="L897" i="13"/>
  <c r="O907" i="13"/>
  <c r="P907" i="13" s="1"/>
  <c r="O904" i="13"/>
  <c r="P904" i="13" s="1"/>
  <c r="O905" i="13"/>
  <c r="P905" i="13" s="1"/>
  <c r="L899" i="13"/>
  <c r="L896" i="13"/>
  <c r="L895" i="13"/>
  <c r="O891" i="13"/>
  <c r="M891" i="13"/>
  <c r="V892" i="13"/>
  <c r="X891" i="13"/>
  <c r="S891" i="13"/>
  <c r="U891" i="13" s="1"/>
  <c r="Q892" i="13"/>
  <c r="AA890" i="13"/>
  <c r="Q896" i="13"/>
  <c r="R896" i="13" s="1"/>
  <c r="H892" i="13"/>
  <c r="I892" i="13" s="1"/>
  <c r="J892" i="13"/>
  <c r="P871" i="13"/>
  <c r="S870" i="13" s="1"/>
  <c r="AA852" i="13"/>
  <c r="Q858" i="13"/>
  <c r="R858" i="13" s="1"/>
  <c r="W854" i="13"/>
  <c r="X854" i="13" s="1"/>
  <c r="Y854" i="13"/>
  <c r="Z854" i="13" s="1"/>
  <c r="S853" i="13"/>
  <c r="U853" i="13" s="1"/>
  <c r="Q854" i="13"/>
  <c r="N853" i="13"/>
  <c r="L854" i="13"/>
  <c r="J853" i="13"/>
  <c r="H853" i="13"/>
  <c r="P853" i="13"/>
  <c r="B858" i="13"/>
  <c r="Q820" i="13"/>
  <c r="R820" i="13" s="1"/>
  <c r="AA814" i="13"/>
  <c r="Q816" i="13"/>
  <c r="S815" i="13"/>
  <c r="U815" i="13" s="1"/>
  <c r="B820" i="13"/>
  <c r="N815" i="13"/>
  <c r="P815" i="13" s="1"/>
  <c r="L816" i="13"/>
  <c r="P833" i="13"/>
  <c r="S832" i="13" s="1"/>
  <c r="J815" i="13"/>
  <c r="H815" i="13"/>
  <c r="Y816" i="13"/>
  <c r="W816" i="13"/>
  <c r="X816" i="13" s="1"/>
  <c r="AA776" i="13"/>
  <c r="Q782" i="13"/>
  <c r="R782" i="13" s="1"/>
  <c r="J777" i="13"/>
  <c r="H777" i="13"/>
  <c r="B782" i="13"/>
  <c r="Q778" i="13"/>
  <c r="S777" i="13"/>
  <c r="U777" i="13" s="1"/>
  <c r="P795" i="13"/>
  <c r="S794" i="13" s="1"/>
  <c r="Y777" i="13"/>
  <c r="W777" i="13"/>
  <c r="M777" i="13"/>
  <c r="O777" i="13"/>
  <c r="B744" i="13"/>
  <c r="J739" i="13"/>
  <c r="H739" i="13"/>
  <c r="Y740" i="13"/>
  <c r="W740" i="13"/>
  <c r="X740" i="13" s="1"/>
  <c r="Q740" i="13"/>
  <c r="S739" i="13"/>
  <c r="U739" i="13" s="1"/>
  <c r="P757" i="13"/>
  <c r="S756" i="13" s="1"/>
  <c r="N739" i="13"/>
  <c r="P739" i="13" s="1"/>
  <c r="L740" i="13"/>
  <c r="AA738" i="13"/>
  <c r="Q744" i="13"/>
  <c r="R744" i="13" s="1"/>
  <c r="L718" i="13"/>
  <c r="AA700" i="13"/>
  <c r="Q706" i="13"/>
  <c r="R706" i="13" s="1"/>
  <c r="O718" i="13"/>
  <c r="P718" i="13" s="1"/>
  <c r="O716" i="13"/>
  <c r="P716" i="13" s="1"/>
  <c r="L708" i="13"/>
  <c r="L707" i="13"/>
  <c r="O717" i="13"/>
  <c r="P717" i="13" s="1"/>
  <c r="O714" i="13"/>
  <c r="P714" i="13" s="1"/>
  <c r="O715" i="13"/>
  <c r="P715" i="13" s="1"/>
  <c r="L709" i="13"/>
  <c r="L706" i="13"/>
  <c r="L705" i="13"/>
  <c r="J702" i="13"/>
  <c r="H702" i="13"/>
  <c r="I702" i="13" s="1"/>
  <c r="O701" i="13"/>
  <c r="M701" i="13"/>
  <c r="V702" i="13"/>
  <c r="X701" i="13"/>
  <c r="Z701" i="13" s="1"/>
  <c r="S701" i="13"/>
  <c r="U701" i="13" s="1"/>
  <c r="Q702" i="13"/>
  <c r="P681" i="13"/>
  <c r="S680" i="13"/>
  <c r="Q668" i="13"/>
  <c r="R668" i="13" s="1"/>
  <c r="AA662" i="13"/>
  <c r="J664" i="13"/>
  <c r="H664" i="13"/>
  <c r="I664" i="13" s="1"/>
  <c r="O663" i="13"/>
  <c r="M663" i="13"/>
  <c r="S663" i="13"/>
  <c r="U663" i="13" s="1"/>
  <c r="Q664" i="13"/>
  <c r="V664" i="13"/>
  <c r="X663" i="13"/>
  <c r="Z663" i="13" s="1"/>
  <c r="U626" i="13"/>
  <c r="W626" i="13"/>
  <c r="X626" i="13" s="1"/>
  <c r="Y626" i="13"/>
  <c r="P643" i="13"/>
  <c r="S642" i="13" s="1"/>
  <c r="O625" i="13"/>
  <c r="M625" i="13"/>
  <c r="AA624" i="13"/>
  <c r="Q630" i="13"/>
  <c r="R630" i="13" s="1"/>
  <c r="P605" i="13"/>
  <c r="S604" i="13" s="1"/>
  <c r="AB586" i="13"/>
  <c r="E591" i="13"/>
  <c r="G588" i="13"/>
  <c r="I587" i="13"/>
  <c r="K587" i="13" s="1"/>
  <c r="W588" i="13"/>
  <c r="X588" i="13" s="1"/>
  <c r="Y588" i="13"/>
  <c r="S587" i="13"/>
  <c r="U587" i="13" s="1"/>
  <c r="Q588" i="13"/>
  <c r="O587" i="13"/>
  <c r="M587" i="13"/>
  <c r="E593" i="13"/>
  <c r="B592" i="13"/>
  <c r="Q592" i="13"/>
  <c r="R592" i="13" s="1"/>
  <c r="P567" i="13"/>
  <c r="S566" i="13" s="1"/>
  <c r="O549" i="13"/>
  <c r="M549" i="13"/>
  <c r="U549" i="13"/>
  <c r="AA548" i="13"/>
  <c r="Q554" i="13"/>
  <c r="R554" i="13" s="1"/>
  <c r="S549" i="13"/>
  <c r="Q550" i="13"/>
  <c r="AA510" i="13"/>
  <c r="Q516" i="13"/>
  <c r="R516" i="13" s="1"/>
  <c r="J511" i="13"/>
  <c r="H511" i="13"/>
  <c r="Y512" i="13"/>
  <c r="W512" i="13"/>
  <c r="X512" i="13" s="1"/>
  <c r="B516" i="13"/>
  <c r="Q512" i="13"/>
  <c r="S511" i="13"/>
  <c r="U511" i="13" s="1"/>
  <c r="P529" i="13"/>
  <c r="S528" i="13" s="1"/>
  <c r="N511" i="13"/>
  <c r="P511" i="13" s="1"/>
  <c r="L512" i="13"/>
  <c r="Q478" i="13"/>
  <c r="R478" i="13" s="1"/>
  <c r="AA472" i="13"/>
  <c r="B478" i="13"/>
  <c r="L474" i="13"/>
  <c r="N473" i="13"/>
  <c r="P473" i="13" s="1"/>
  <c r="X473" i="13"/>
  <c r="Z473" i="13" s="1"/>
  <c r="V474" i="13"/>
  <c r="H473" i="13"/>
  <c r="J473" i="13"/>
  <c r="P491" i="13"/>
  <c r="S490" i="13" s="1"/>
  <c r="T473" i="13"/>
  <c r="R473" i="13"/>
  <c r="S435" i="13"/>
  <c r="Q436" i="13"/>
  <c r="AA434" i="13"/>
  <c r="Q440" i="13"/>
  <c r="R440" i="13" s="1"/>
  <c r="U435" i="13"/>
  <c r="J436" i="13"/>
  <c r="H436" i="13"/>
  <c r="I436" i="13" s="1"/>
  <c r="P453" i="13"/>
  <c r="S452" i="13" s="1"/>
  <c r="V436" i="13"/>
  <c r="X435" i="13"/>
  <c r="Z435" i="13" s="1"/>
  <c r="O435" i="13"/>
  <c r="M435" i="13"/>
  <c r="U398" i="13"/>
  <c r="P415" i="13"/>
  <c r="S414" i="13" s="1"/>
  <c r="W398" i="13"/>
  <c r="X398" i="13" s="1"/>
  <c r="Y398" i="13"/>
  <c r="O397" i="13"/>
  <c r="M397" i="13"/>
  <c r="AA396" i="13"/>
  <c r="Q402" i="13"/>
  <c r="R402" i="13" s="1"/>
  <c r="Q364" i="13"/>
  <c r="R364" i="13" s="1"/>
  <c r="Y359" i="13"/>
  <c r="W359" i="13"/>
  <c r="T359" i="13"/>
  <c r="R359" i="13"/>
  <c r="AA358" i="13"/>
  <c r="I359" i="13"/>
  <c r="K359" i="13" s="1"/>
  <c r="G360" i="13"/>
  <c r="M359" i="13"/>
  <c r="O359" i="13"/>
  <c r="O321" i="13"/>
  <c r="M321" i="13"/>
  <c r="AA320" i="13"/>
  <c r="Q326" i="13"/>
  <c r="R326" i="13" s="1"/>
  <c r="W322" i="13"/>
  <c r="X322" i="13" s="1"/>
  <c r="Y322" i="13"/>
  <c r="S321" i="13"/>
  <c r="U321" i="13" s="1"/>
  <c r="Q322" i="13"/>
  <c r="J322" i="13"/>
  <c r="H322" i="13"/>
  <c r="I322" i="13" s="1"/>
  <c r="P339" i="13"/>
  <c r="S338" i="13" s="1"/>
  <c r="S300" i="13"/>
  <c r="Q288" i="13"/>
  <c r="R288" i="13" s="1"/>
  <c r="AA282" i="13"/>
  <c r="X283" i="13"/>
  <c r="V284" i="13"/>
  <c r="B288" i="13"/>
  <c r="T283" i="13"/>
  <c r="R283" i="13"/>
  <c r="O283" i="13"/>
  <c r="M283" i="13"/>
  <c r="H283" i="13"/>
  <c r="J283" i="13"/>
  <c r="Z283" i="13"/>
  <c r="AB204" i="13"/>
  <c r="H244" i="13"/>
  <c r="I244" i="13" s="1"/>
  <c r="K244" i="13" s="1"/>
  <c r="L109" i="13"/>
  <c r="S205" i="13"/>
  <c r="U205" i="13" s="1"/>
  <c r="Q206" i="13"/>
  <c r="Q54" i="13"/>
  <c r="S53" i="13"/>
  <c r="U53" i="13" s="1"/>
  <c r="X244" i="13"/>
  <c r="Z244" i="13" s="1"/>
  <c r="V245" i="13"/>
  <c r="U245" i="13"/>
  <c r="N244" i="13"/>
  <c r="P244" i="13" s="1"/>
  <c r="L245" i="13"/>
  <c r="P262" i="13"/>
  <c r="S261" i="13" s="1"/>
  <c r="AB243" i="13"/>
  <c r="E248" i="13"/>
  <c r="Z207" i="13"/>
  <c r="K207" i="13"/>
  <c r="B211" i="13"/>
  <c r="N205" i="13"/>
  <c r="P205" i="13" s="1"/>
  <c r="L206" i="13"/>
  <c r="O223" i="13"/>
  <c r="P223" i="13" s="1"/>
  <c r="O221" i="13"/>
  <c r="P221" i="13" s="1"/>
  <c r="L213" i="13"/>
  <c r="L212" i="13"/>
  <c r="O222" i="13"/>
  <c r="P222" i="13" s="1"/>
  <c r="O220" i="13"/>
  <c r="P220" i="13" s="1"/>
  <c r="O219" i="13"/>
  <c r="P219" i="13" s="1"/>
  <c r="L214" i="13"/>
  <c r="L210" i="13"/>
  <c r="L211" i="13"/>
  <c r="L223" i="13"/>
  <c r="P186" i="13"/>
  <c r="B172" i="13"/>
  <c r="AB166" i="13"/>
  <c r="L169" i="13"/>
  <c r="N168" i="13"/>
  <c r="P168" i="13" s="1"/>
  <c r="T168" i="13"/>
  <c r="R168" i="13"/>
  <c r="X167" i="13"/>
  <c r="Z167" i="13" s="1"/>
  <c r="V168" i="13"/>
  <c r="I167" i="13"/>
  <c r="K167" i="13" s="1"/>
  <c r="G168" i="13"/>
  <c r="L138" i="13"/>
  <c r="L135" i="13"/>
  <c r="L134" i="13"/>
  <c r="O146" i="13"/>
  <c r="P146" i="13" s="1"/>
  <c r="O144" i="13"/>
  <c r="P144" i="13" s="1"/>
  <c r="O143" i="13"/>
  <c r="P143" i="13" s="1"/>
  <c r="O147" i="13"/>
  <c r="P147" i="13" s="1"/>
  <c r="O145" i="13"/>
  <c r="P145" i="13" s="1"/>
  <c r="L137" i="13"/>
  <c r="L136" i="13"/>
  <c r="I129" i="13"/>
  <c r="G130" i="13"/>
  <c r="L146" i="13" s="1"/>
  <c r="L147" i="13" s="1"/>
  <c r="B134" i="13"/>
  <c r="AB128" i="13"/>
  <c r="K129" i="13"/>
  <c r="M130" i="13"/>
  <c r="O130" i="13"/>
  <c r="V131" i="13"/>
  <c r="X130" i="13"/>
  <c r="Z130" i="13" s="1"/>
  <c r="R130" i="13"/>
  <c r="T130" i="13"/>
  <c r="Q92" i="13"/>
  <c r="S91" i="13"/>
  <c r="H92" i="13"/>
  <c r="J92" i="13"/>
  <c r="P110" i="13"/>
  <c r="S109" i="13" s="1"/>
  <c r="U91" i="13"/>
  <c r="B97" i="13"/>
  <c r="N91" i="13"/>
  <c r="P91" i="13" s="1"/>
  <c r="L92" i="13"/>
  <c r="V92" i="13"/>
  <c r="X91" i="13"/>
  <c r="Z91" i="13" s="1"/>
  <c r="L71" i="13"/>
  <c r="V55" i="13"/>
  <c r="X54" i="13"/>
  <c r="Z54" i="13" s="1"/>
  <c r="B58" i="13"/>
  <c r="AB52" i="13"/>
  <c r="G54" i="13"/>
  <c r="I53" i="13"/>
  <c r="K53" i="13" s="1"/>
  <c r="O54" i="13"/>
  <c r="M54" i="13"/>
  <c r="O71" i="13"/>
  <c r="P71" i="13" s="1"/>
  <c r="O69" i="13"/>
  <c r="P69" i="13" s="1"/>
  <c r="L61" i="13"/>
  <c r="L60" i="13"/>
  <c r="L62" i="13"/>
  <c r="L59" i="13"/>
  <c r="L58" i="13"/>
  <c r="O70" i="13"/>
  <c r="P70" i="13" s="1"/>
  <c r="O68" i="13"/>
  <c r="P68" i="13" s="1"/>
  <c r="O67" i="13"/>
  <c r="P67" i="13" s="1"/>
  <c r="L16" i="13"/>
  <c r="N15" i="13"/>
  <c r="O33" i="13"/>
  <c r="P33" i="13" s="1"/>
  <c r="O31" i="13"/>
  <c r="P31" i="13" s="1"/>
  <c r="L23" i="13"/>
  <c r="L22" i="13"/>
  <c r="L24" i="13"/>
  <c r="L21" i="13"/>
  <c r="L20" i="13"/>
  <c r="O32" i="13"/>
  <c r="P32" i="13" s="1"/>
  <c r="O30" i="13"/>
  <c r="P30" i="13" s="1"/>
  <c r="O29" i="13"/>
  <c r="P29" i="13" s="1"/>
  <c r="B21" i="13"/>
  <c r="P15" i="13"/>
  <c r="G17" i="13"/>
  <c r="I16" i="13"/>
  <c r="K16" i="13" s="1"/>
  <c r="R16" i="13"/>
  <c r="T16" i="13"/>
  <c r="W16" i="13"/>
  <c r="Y16" i="13"/>
  <c r="Q14" i="11"/>
  <c r="S13" i="11"/>
  <c r="U13" i="11" s="1"/>
  <c r="M14" i="11"/>
  <c r="O14" i="11"/>
  <c r="X13" i="11"/>
  <c r="Z13" i="11" s="1"/>
  <c r="V14" i="11"/>
  <c r="U24" i="11"/>
  <c r="AB12" i="11"/>
  <c r="B18" i="11"/>
  <c r="I13" i="11"/>
  <c r="K13" i="11" s="1"/>
  <c r="G14" i="11"/>
  <c r="AB15" i="17" l="1"/>
  <c r="K21" i="17" s="1"/>
  <c r="M21" i="17" s="1"/>
  <c r="R21" i="17"/>
  <c r="R22" i="17" s="1"/>
  <c r="AB15" i="18"/>
  <c r="R21" i="18"/>
  <c r="R22" i="18" s="1"/>
  <c r="K18" i="18"/>
  <c r="M18" i="18" s="1"/>
  <c r="U22" i="17"/>
  <c r="K22" i="17"/>
  <c r="M22" i="17" s="1"/>
  <c r="AA15" i="16"/>
  <c r="H19" i="16"/>
  <c r="H21" i="16"/>
  <c r="AA13" i="11"/>
  <c r="R19" i="11" s="1"/>
  <c r="H857" i="6"/>
  <c r="U854" i="6"/>
  <c r="K854" i="6"/>
  <c r="AA854" i="6" s="1"/>
  <c r="Q783" i="6"/>
  <c r="R783" i="6" s="1"/>
  <c r="AA777" i="6"/>
  <c r="AB777" i="6" s="1"/>
  <c r="H782" i="6" s="1"/>
  <c r="Z778" i="6"/>
  <c r="Z702" i="6"/>
  <c r="P588" i="6"/>
  <c r="K588" i="6"/>
  <c r="U436" i="6"/>
  <c r="K436" i="6"/>
  <c r="U360" i="6"/>
  <c r="AA360" i="6" s="1"/>
  <c r="AB360" i="6" s="1"/>
  <c r="U322" i="6"/>
  <c r="K169" i="6"/>
  <c r="AA92" i="6"/>
  <c r="H96" i="6" s="1"/>
  <c r="K93" i="6"/>
  <c r="AA321" i="6"/>
  <c r="Q327" i="6"/>
  <c r="R327" i="6" s="1"/>
  <c r="AA359" i="6"/>
  <c r="Q365" i="6"/>
  <c r="R365" i="6" s="1"/>
  <c r="Q897" i="6"/>
  <c r="R897" i="6" s="1"/>
  <c r="AA891" i="6"/>
  <c r="Q212" i="6"/>
  <c r="R212" i="6" s="1"/>
  <c r="AA206" i="6"/>
  <c r="AA739" i="6"/>
  <c r="Q745" i="6"/>
  <c r="R745" i="6" s="1"/>
  <c r="AB92" i="6"/>
  <c r="H98" i="6" s="1"/>
  <c r="AB168" i="6"/>
  <c r="H172" i="6"/>
  <c r="AA283" i="6"/>
  <c r="Q289" i="6"/>
  <c r="R289" i="6" s="1"/>
  <c r="AB663" i="6"/>
  <c r="H667" i="6"/>
  <c r="AA435" i="6"/>
  <c r="Q441" i="6"/>
  <c r="R441" i="6" s="1"/>
  <c r="AA511" i="6"/>
  <c r="Q517" i="6"/>
  <c r="R517" i="6" s="1"/>
  <c r="W93" i="6"/>
  <c r="X93" i="6" s="1"/>
  <c r="Y93" i="6"/>
  <c r="W626" i="6"/>
  <c r="X626" i="6" s="1"/>
  <c r="Y626" i="6"/>
  <c r="E135" i="6"/>
  <c r="E136" i="6"/>
  <c r="E516" i="6"/>
  <c r="E517" i="6"/>
  <c r="E782" i="6"/>
  <c r="E783" i="6"/>
  <c r="E630" i="6"/>
  <c r="E631" i="6"/>
  <c r="O550" i="6"/>
  <c r="M550" i="6"/>
  <c r="N550" i="6" s="1"/>
  <c r="E744" i="6"/>
  <c r="E745" i="6"/>
  <c r="H669" i="6"/>
  <c r="E668" i="6"/>
  <c r="E669" i="6"/>
  <c r="H670" i="6"/>
  <c r="H245" i="6"/>
  <c r="I245" i="6" s="1"/>
  <c r="J245" i="6"/>
  <c r="K245" i="6" s="1"/>
  <c r="T93" i="6"/>
  <c r="U93" i="6" s="1"/>
  <c r="R93" i="6"/>
  <c r="S93" i="6" s="1"/>
  <c r="Z207" i="6"/>
  <c r="P284" i="6"/>
  <c r="U131" i="6"/>
  <c r="Z588" i="6"/>
  <c r="O93" i="6"/>
  <c r="M93" i="6"/>
  <c r="N93" i="6" s="1"/>
  <c r="P778" i="6"/>
  <c r="O854" i="6"/>
  <c r="P854" i="6" s="1"/>
  <c r="M854" i="6"/>
  <c r="N854" i="6" s="1"/>
  <c r="Q98" i="6"/>
  <c r="R98" i="6" s="1"/>
  <c r="P398" i="6"/>
  <c r="E288" i="6"/>
  <c r="E289" i="6"/>
  <c r="H474" i="6"/>
  <c r="I474" i="6" s="1"/>
  <c r="J474" i="6"/>
  <c r="K474" i="6" s="1"/>
  <c r="E249" i="6"/>
  <c r="E250" i="6"/>
  <c r="P702" i="6"/>
  <c r="O322" i="6"/>
  <c r="M322" i="6"/>
  <c r="N322" i="6" s="1"/>
  <c r="E554" i="6"/>
  <c r="E555" i="6"/>
  <c r="AA130" i="6"/>
  <c r="Q136" i="6"/>
  <c r="R136" i="6" s="1"/>
  <c r="E211" i="6"/>
  <c r="E212" i="6"/>
  <c r="E858" i="6"/>
  <c r="H859" i="6"/>
  <c r="H860" i="6"/>
  <c r="E859" i="6"/>
  <c r="U702" i="6"/>
  <c r="AA702" i="6" s="1"/>
  <c r="U17" i="6"/>
  <c r="E21" i="6"/>
  <c r="E22" i="6"/>
  <c r="E326" i="6"/>
  <c r="E327" i="6"/>
  <c r="Z664" i="6"/>
  <c r="P816" i="6"/>
  <c r="Q822" i="6" s="1"/>
  <c r="R822" i="6" s="1"/>
  <c r="R823" i="6" s="1"/>
  <c r="J892" i="6"/>
  <c r="H892" i="6"/>
  <c r="I892" i="6" s="1"/>
  <c r="Z474" i="6"/>
  <c r="T512" i="6"/>
  <c r="R512" i="6"/>
  <c r="S512" i="6" s="1"/>
  <c r="J207" i="6"/>
  <c r="H207" i="6"/>
  <c r="I207" i="6" s="1"/>
  <c r="M740" i="6"/>
  <c r="N740" i="6" s="1"/>
  <c r="O740" i="6"/>
  <c r="P740" i="6" s="1"/>
  <c r="P55" i="6"/>
  <c r="O169" i="6"/>
  <c r="M169" i="6"/>
  <c r="N169" i="6" s="1"/>
  <c r="AB587" i="6"/>
  <c r="H591" i="6"/>
  <c r="AA625" i="6"/>
  <c r="E896" i="6"/>
  <c r="E897" i="6"/>
  <c r="W360" i="6"/>
  <c r="X360" i="6" s="1"/>
  <c r="Y360" i="6"/>
  <c r="Z360" i="6" s="1"/>
  <c r="M892" i="6"/>
  <c r="N892" i="6" s="1"/>
  <c r="O892" i="6"/>
  <c r="P892" i="6" s="1"/>
  <c r="O17" i="6"/>
  <c r="M17" i="6"/>
  <c r="N17" i="6" s="1"/>
  <c r="O131" i="6"/>
  <c r="M131" i="6"/>
  <c r="N131" i="6" s="1"/>
  <c r="O436" i="6"/>
  <c r="M436" i="6"/>
  <c r="N436" i="6" s="1"/>
  <c r="M245" i="6"/>
  <c r="N245" i="6" s="1"/>
  <c r="O245" i="6"/>
  <c r="E440" i="6"/>
  <c r="E441" i="6"/>
  <c r="T284" i="6"/>
  <c r="R284" i="6"/>
  <c r="S284" i="6" s="1"/>
  <c r="W512" i="6"/>
  <c r="X512" i="6" s="1"/>
  <c r="Y512" i="6"/>
  <c r="Z512" i="6" s="1"/>
  <c r="AA473" i="6"/>
  <c r="Q479" i="6"/>
  <c r="R479" i="6" s="1"/>
  <c r="E97" i="6"/>
  <c r="H99" i="6"/>
  <c r="E98" i="6"/>
  <c r="J55" i="6"/>
  <c r="H55" i="6"/>
  <c r="I55" i="6" s="1"/>
  <c r="Q860" i="6"/>
  <c r="R860" i="6" s="1"/>
  <c r="R861" i="6" s="1"/>
  <c r="Q174" i="6"/>
  <c r="R174" i="6" s="1"/>
  <c r="AB397" i="6"/>
  <c r="H401" i="6"/>
  <c r="E59" i="6"/>
  <c r="E60" i="6"/>
  <c r="AA16" i="6"/>
  <c r="Q22" i="6"/>
  <c r="R22" i="6" s="1"/>
  <c r="T740" i="6"/>
  <c r="R740" i="6"/>
  <c r="S740" i="6" s="1"/>
  <c r="Q555" i="6"/>
  <c r="R555" i="6" s="1"/>
  <c r="AA549" i="6"/>
  <c r="H740" i="6"/>
  <c r="I740" i="6" s="1"/>
  <c r="J740" i="6"/>
  <c r="E478" i="6"/>
  <c r="E479" i="6"/>
  <c r="Y245" i="6"/>
  <c r="W245" i="6"/>
  <c r="X245" i="6" s="1"/>
  <c r="Q708" i="6"/>
  <c r="R708" i="6" s="1"/>
  <c r="R709" i="6" s="1"/>
  <c r="U626" i="6"/>
  <c r="T664" i="6"/>
  <c r="R664" i="6"/>
  <c r="S664" i="6" s="1"/>
  <c r="Q60" i="6"/>
  <c r="R60" i="6" s="1"/>
  <c r="AA54" i="6"/>
  <c r="Y740" i="6"/>
  <c r="W740" i="6"/>
  <c r="X740" i="6" s="1"/>
  <c r="T778" i="6"/>
  <c r="R778" i="6"/>
  <c r="S778" i="6" s="1"/>
  <c r="Z892" i="6"/>
  <c r="AA244" i="6"/>
  <c r="Q250" i="6"/>
  <c r="R250" i="6" s="1"/>
  <c r="P664" i="6"/>
  <c r="AB815" i="6"/>
  <c r="H819" i="6"/>
  <c r="AB701" i="6"/>
  <c r="H705" i="6"/>
  <c r="Z702" i="5"/>
  <c r="U55" i="5"/>
  <c r="AA777" i="5"/>
  <c r="Q783" i="5"/>
  <c r="R783" i="5" s="1"/>
  <c r="AA321" i="5"/>
  <c r="AA16" i="5"/>
  <c r="Q22" i="5"/>
  <c r="R22" i="5" s="1"/>
  <c r="AA54" i="5"/>
  <c r="Q60" i="5"/>
  <c r="R60" i="5" s="1"/>
  <c r="AA283" i="5"/>
  <c r="Q289" i="5"/>
  <c r="R289" i="5" s="1"/>
  <c r="AA92" i="5"/>
  <c r="Q98" i="5"/>
  <c r="R98" i="5" s="1"/>
  <c r="Q745" i="5"/>
  <c r="R745" i="5" s="1"/>
  <c r="AA739" i="5"/>
  <c r="Q517" i="5"/>
  <c r="R517" i="5" s="1"/>
  <c r="AA511" i="5"/>
  <c r="AA359" i="5"/>
  <c r="Q365" i="5"/>
  <c r="R365" i="5" s="1"/>
  <c r="E173" i="5"/>
  <c r="E174" i="5"/>
  <c r="J550" i="5"/>
  <c r="H550" i="5"/>
  <c r="I550" i="5" s="1"/>
  <c r="AA587" i="5"/>
  <c r="Q593" i="5"/>
  <c r="R593" i="5" s="1"/>
  <c r="Q174" i="5"/>
  <c r="R174" i="5" s="1"/>
  <c r="AA168" i="5"/>
  <c r="W284" i="5"/>
  <c r="X284" i="5" s="1"/>
  <c r="Y284" i="5"/>
  <c r="Q327" i="5"/>
  <c r="R327" i="5" s="1"/>
  <c r="H512" i="5"/>
  <c r="I512" i="5" s="1"/>
  <c r="J512" i="5"/>
  <c r="Q480" i="5"/>
  <c r="R480" i="5" s="1"/>
  <c r="AA474" i="5"/>
  <c r="AB474" i="5" s="1"/>
  <c r="W778" i="5"/>
  <c r="X778" i="5" s="1"/>
  <c r="Y778" i="5"/>
  <c r="AA853" i="5"/>
  <c r="Q859" i="5"/>
  <c r="R859" i="5" s="1"/>
  <c r="W436" i="5"/>
  <c r="X436" i="5" s="1"/>
  <c r="Y436" i="5"/>
  <c r="J207" i="5"/>
  <c r="K207" i="5" s="1"/>
  <c r="H207" i="5"/>
  <c r="I207" i="5" s="1"/>
  <c r="Q136" i="5"/>
  <c r="R136" i="5" s="1"/>
  <c r="AA130" i="5"/>
  <c r="E364" i="5"/>
  <c r="E365" i="5"/>
  <c r="Y169" i="5"/>
  <c r="W169" i="5"/>
  <c r="X169" i="5" s="1"/>
  <c r="O131" i="5"/>
  <c r="M131" i="5"/>
  <c r="N131" i="5" s="1"/>
  <c r="W207" i="5"/>
  <c r="X207" i="5" s="1"/>
  <c r="Y207" i="5"/>
  <c r="J892" i="5"/>
  <c r="H892" i="5"/>
  <c r="I892" i="5" s="1"/>
  <c r="Y322" i="5"/>
  <c r="Z322" i="5" s="1"/>
  <c r="W322" i="5"/>
  <c r="X322" i="5" s="1"/>
  <c r="H436" i="5"/>
  <c r="I436" i="5" s="1"/>
  <c r="J436" i="5"/>
  <c r="K436" i="5" s="1"/>
  <c r="O512" i="5"/>
  <c r="M512" i="5"/>
  <c r="N512" i="5" s="1"/>
  <c r="T816" i="5"/>
  <c r="R816" i="5"/>
  <c r="S816" i="5" s="1"/>
  <c r="R131" i="5"/>
  <c r="S131" i="5" s="1"/>
  <c r="T131" i="5"/>
  <c r="E326" i="5"/>
  <c r="E327" i="5"/>
  <c r="AA435" i="5"/>
  <c r="Q441" i="5"/>
  <c r="R441" i="5" s="1"/>
  <c r="E516" i="5"/>
  <c r="E517" i="5"/>
  <c r="Q821" i="5"/>
  <c r="R821" i="5" s="1"/>
  <c r="AA815" i="5"/>
  <c r="P702" i="5"/>
  <c r="W588" i="5"/>
  <c r="X588" i="5" s="1"/>
  <c r="Y588" i="5"/>
  <c r="Q897" i="5"/>
  <c r="R897" i="5" s="1"/>
  <c r="AA891" i="5"/>
  <c r="T588" i="5"/>
  <c r="R588" i="5"/>
  <c r="S588" i="5" s="1"/>
  <c r="J284" i="5"/>
  <c r="H284" i="5"/>
  <c r="I284" i="5" s="1"/>
  <c r="E668" i="5"/>
  <c r="E669" i="5"/>
  <c r="E592" i="5"/>
  <c r="E593" i="5"/>
  <c r="T322" i="5"/>
  <c r="R322" i="5"/>
  <c r="S322" i="5" s="1"/>
  <c r="T512" i="5"/>
  <c r="R512" i="5"/>
  <c r="S512" i="5" s="1"/>
  <c r="R550" i="5"/>
  <c r="S550" i="5" s="1"/>
  <c r="T550" i="5"/>
  <c r="Y740" i="5"/>
  <c r="W740" i="5"/>
  <c r="X740" i="5" s="1"/>
  <c r="M17" i="5"/>
  <c r="N17" i="5" s="1"/>
  <c r="O17" i="5"/>
  <c r="J169" i="5"/>
  <c r="H169" i="5"/>
  <c r="I169" i="5" s="1"/>
  <c r="M740" i="5"/>
  <c r="N740" i="5" s="1"/>
  <c r="O740" i="5"/>
  <c r="Z512" i="5"/>
  <c r="E820" i="5"/>
  <c r="E821" i="5"/>
  <c r="E440" i="5"/>
  <c r="E441" i="5"/>
  <c r="K702" i="5"/>
  <c r="Q250" i="5"/>
  <c r="R250" i="5" s="1"/>
  <c r="AA244" i="5"/>
  <c r="AA663" i="5"/>
  <c r="Q669" i="5"/>
  <c r="R669" i="5" s="1"/>
  <c r="T664" i="5"/>
  <c r="R664" i="5"/>
  <c r="S664" i="5" s="1"/>
  <c r="T360" i="5"/>
  <c r="R360" i="5"/>
  <c r="S360" i="5" s="1"/>
  <c r="T17" i="5"/>
  <c r="R17" i="5"/>
  <c r="S17" i="5" s="1"/>
  <c r="O207" i="5"/>
  <c r="M207" i="5"/>
  <c r="N207" i="5" s="1"/>
  <c r="M664" i="5"/>
  <c r="N664" i="5" s="1"/>
  <c r="O664" i="5"/>
  <c r="AB625" i="5"/>
  <c r="H629" i="5"/>
  <c r="E288" i="5"/>
  <c r="E289" i="5"/>
  <c r="K626" i="5"/>
  <c r="M322" i="5"/>
  <c r="N322" i="5" s="1"/>
  <c r="O322" i="5"/>
  <c r="E858" i="5"/>
  <c r="E859" i="5"/>
  <c r="E135" i="5"/>
  <c r="E136" i="5"/>
  <c r="E211" i="5"/>
  <c r="E212" i="5"/>
  <c r="Z93" i="5"/>
  <c r="Y245" i="5"/>
  <c r="W245" i="5"/>
  <c r="X245" i="5" s="1"/>
  <c r="M245" i="5"/>
  <c r="N245" i="5" s="1"/>
  <c r="O245" i="5"/>
  <c r="AB701" i="5"/>
  <c r="H705" i="5"/>
  <c r="T854" i="5"/>
  <c r="R854" i="5"/>
  <c r="S854" i="5" s="1"/>
  <c r="Y17" i="5"/>
  <c r="Z17" i="5" s="1"/>
  <c r="W17" i="5"/>
  <c r="X17" i="5" s="1"/>
  <c r="AA206" i="5"/>
  <c r="Q212" i="5"/>
  <c r="R212" i="5" s="1"/>
  <c r="T740" i="5"/>
  <c r="R740" i="5"/>
  <c r="S740" i="5" s="1"/>
  <c r="Y816" i="5"/>
  <c r="W816" i="5"/>
  <c r="X816" i="5" s="1"/>
  <c r="O588" i="5"/>
  <c r="M588" i="5"/>
  <c r="N588" i="5" s="1"/>
  <c r="J245" i="5"/>
  <c r="H245" i="5"/>
  <c r="I245" i="5" s="1"/>
  <c r="M169" i="5"/>
  <c r="N169" i="5" s="1"/>
  <c r="O169" i="5"/>
  <c r="P169" i="5" s="1"/>
  <c r="M93" i="5"/>
  <c r="N93" i="5" s="1"/>
  <c r="O93" i="5"/>
  <c r="H664" i="5"/>
  <c r="I664" i="5" s="1"/>
  <c r="J664" i="5"/>
  <c r="P55" i="5"/>
  <c r="H816" i="5"/>
  <c r="I816" i="5" s="1"/>
  <c r="J816" i="5"/>
  <c r="AB473" i="5"/>
  <c r="H477" i="5"/>
  <c r="P436" i="5"/>
  <c r="T436" i="5"/>
  <c r="R436" i="5"/>
  <c r="S436" i="5" s="1"/>
  <c r="Q555" i="5"/>
  <c r="R555" i="5" s="1"/>
  <c r="AA549" i="5"/>
  <c r="E744" i="5"/>
  <c r="E745" i="5"/>
  <c r="W360" i="5"/>
  <c r="X360" i="5" s="1"/>
  <c r="Y360" i="5"/>
  <c r="Z360" i="5" s="1"/>
  <c r="H854" i="5"/>
  <c r="I854" i="5" s="1"/>
  <c r="J854" i="5"/>
  <c r="U93" i="5"/>
  <c r="U778" i="5"/>
  <c r="AB397" i="5"/>
  <c r="H401" i="5"/>
  <c r="P398" i="5"/>
  <c r="Q404" i="5" s="1"/>
  <c r="R404" i="5" s="1"/>
  <c r="R405" i="5" s="1"/>
  <c r="K17" i="5"/>
  <c r="K93" i="5"/>
  <c r="O284" i="5"/>
  <c r="P284" i="5" s="1"/>
  <c r="M284" i="5"/>
  <c r="N284" i="5" s="1"/>
  <c r="Z626" i="5"/>
  <c r="P892" i="5"/>
  <c r="M816" i="5"/>
  <c r="N816" i="5" s="1"/>
  <c r="O816" i="5"/>
  <c r="E59" i="5"/>
  <c r="E60" i="5"/>
  <c r="T207" i="5"/>
  <c r="R207" i="5"/>
  <c r="S207" i="5" s="1"/>
  <c r="W55" i="5"/>
  <c r="X55" i="5" s="1"/>
  <c r="Y55" i="5"/>
  <c r="R481" i="5"/>
  <c r="E249" i="5"/>
  <c r="E250" i="5"/>
  <c r="W131" i="5"/>
  <c r="X131" i="5" s="1"/>
  <c r="Y131" i="5"/>
  <c r="Z131" i="5" s="1"/>
  <c r="E896" i="5"/>
  <c r="E897" i="5"/>
  <c r="E21" i="5"/>
  <c r="E22" i="5"/>
  <c r="E554" i="5"/>
  <c r="E555" i="5"/>
  <c r="Z550" i="5"/>
  <c r="O854" i="5"/>
  <c r="M854" i="5"/>
  <c r="N854" i="5" s="1"/>
  <c r="K322" i="5"/>
  <c r="O550" i="5"/>
  <c r="M550" i="5"/>
  <c r="N550" i="5" s="1"/>
  <c r="H588" i="5"/>
  <c r="I588" i="5" s="1"/>
  <c r="J588" i="5"/>
  <c r="K588" i="5" s="1"/>
  <c r="Z664" i="5"/>
  <c r="T245" i="5"/>
  <c r="U245" i="5" s="1"/>
  <c r="R245" i="5"/>
  <c r="S245" i="5" s="1"/>
  <c r="E782" i="5"/>
  <c r="E783" i="5"/>
  <c r="Z512" i="12"/>
  <c r="Z284" i="12"/>
  <c r="Z55" i="12"/>
  <c r="Q631" i="12"/>
  <c r="R631" i="12" s="1"/>
  <c r="AA625" i="12"/>
  <c r="Q555" i="12"/>
  <c r="R555" i="12" s="1"/>
  <c r="AA549" i="12"/>
  <c r="O131" i="12"/>
  <c r="P131" i="12" s="1"/>
  <c r="M131" i="12"/>
  <c r="N131" i="12" s="1"/>
  <c r="S701" i="12"/>
  <c r="U701" i="12" s="1"/>
  <c r="Q702" i="12"/>
  <c r="O702" i="12"/>
  <c r="P702" i="12" s="1"/>
  <c r="M702" i="12"/>
  <c r="N702" i="12" s="1"/>
  <c r="Y778" i="12"/>
  <c r="Z778" i="12" s="1"/>
  <c r="W778" i="12"/>
  <c r="X778" i="12" s="1"/>
  <c r="L664" i="12"/>
  <c r="N663" i="12"/>
  <c r="X587" i="12"/>
  <c r="Z587" i="12" s="1"/>
  <c r="V588" i="12"/>
  <c r="W245" i="12"/>
  <c r="X245" i="12" s="1"/>
  <c r="Y245" i="12"/>
  <c r="W17" i="12"/>
  <c r="X17" i="12" s="1"/>
  <c r="Y17" i="12"/>
  <c r="AB53" i="12"/>
  <c r="E58" i="12"/>
  <c r="W360" i="12"/>
  <c r="X360" i="12" s="1"/>
  <c r="Y360" i="12"/>
  <c r="Z360" i="12" s="1"/>
  <c r="AB586" i="12"/>
  <c r="E591" i="12"/>
  <c r="S206" i="12"/>
  <c r="U206" i="12" s="1"/>
  <c r="Q207" i="12"/>
  <c r="AB510" i="12"/>
  <c r="E515" i="12"/>
  <c r="J892" i="12"/>
  <c r="H892" i="12"/>
  <c r="I892" i="12" s="1"/>
  <c r="P681" i="12"/>
  <c r="S680" i="12" s="1"/>
  <c r="X168" i="12"/>
  <c r="Z168" i="12" s="1"/>
  <c r="V169" i="12"/>
  <c r="O322" i="12"/>
  <c r="P322" i="12" s="1"/>
  <c r="M322" i="12"/>
  <c r="N322" i="12" s="1"/>
  <c r="H436" i="12"/>
  <c r="I436" i="12" s="1"/>
  <c r="J436" i="12"/>
  <c r="K436" i="12" s="1"/>
  <c r="Q816" i="12"/>
  <c r="S815" i="12"/>
  <c r="I511" i="12"/>
  <c r="K511" i="12" s="1"/>
  <c r="G512" i="12"/>
  <c r="N815" i="12"/>
  <c r="P815" i="12" s="1"/>
  <c r="L816" i="12"/>
  <c r="W892" i="12"/>
  <c r="X892" i="12" s="1"/>
  <c r="Y892" i="12"/>
  <c r="AB814" i="12"/>
  <c r="E819" i="12"/>
  <c r="Q93" i="12"/>
  <c r="S92" i="12"/>
  <c r="U92" i="12" s="1"/>
  <c r="AB890" i="12"/>
  <c r="E895" i="12"/>
  <c r="AB396" i="12"/>
  <c r="E401" i="12"/>
  <c r="AA130" i="12"/>
  <c r="AB852" i="12"/>
  <c r="E857" i="12"/>
  <c r="AB434" i="12"/>
  <c r="E439" i="12"/>
  <c r="E326" i="12"/>
  <c r="E327" i="12"/>
  <c r="O778" i="12"/>
  <c r="M778" i="12"/>
  <c r="N778" i="12" s="1"/>
  <c r="T512" i="12"/>
  <c r="R512" i="12"/>
  <c r="S512" i="12" s="1"/>
  <c r="L93" i="12"/>
  <c r="N92" i="12"/>
  <c r="P92" i="12" s="1"/>
  <c r="R360" i="12"/>
  <c r="S360" i="12" s="1"/>
  <c r="T360" i="12"/>
  <c r="W207" i="12"/>
  <c r="X207" i="12" s="1"/>
  <c r="Y207" i="12"/>
  <c r="Z207" i="12" s="1"/>
  <c r="G588" i="12"/>
  <c r="I587" i="12"/>
  <c r="K587" i="12" s="1"/>
  <c r="AB738" i="12"/>
  <c r="E743" i="12"/>
  <c r="Q783" i="12"/>
  <c r="R783" i="12" s="1"/>
  <c r="AA777" i="12"/>
  <c r="K550" i="12"/>
  <c r="P511" i="12"/>
  <c r="M55" i="12"/>
  <c r="N55" i="12" s="1"/>
  <c r="O55" i="12"/>
  <c r="P55" i="12" s="1"/>
  <c r="Q740" i="12"/>
  <c r="S739" i="12"/>
  <c r="U739" i="12" s="1"/>
  <c r="Z322" i="12"/>
  <c r="Q327" i="12"/>
  <c r="R327" i="12" s="1"/>
  <c r="AA321" i="12"/>
  <c r="Z398" i="12"/>
  <c r="L740" i="12"/>
  <c r="N739" i="12"/>
  <c r="V436" i="12"/>
  <c r="X435" i="12"/>
  <c r="Z435" i="12" s="1"/>
  <c r="I853" i="12"/>
  <c r="K853" i="12" s="1"/>
  <c r="G854" i="12"/>
  <c r="AB91" i="12"/>
  <c r="E96" i="12"/>
  <c r="M398" i="12"/>
  <c r="N398" i="12" s="1"/>
  <c r="O398" i="12"/>
  <c r="AB700" i="12"/>
  <c r="E705" i="12"/>
  <c r="H702" i="12"/>
  <c r="I702" i="12" s="1"/>
  <c r="J702" i="12"/>
  <c r="H284" i="12"/>
  <c r="I284" i="12" s="1"/>
  <c r="J284" i="12"/>
  <c r="U853" i="12"/>
  <c r="J626" i="12"/>
  <c r="H626" i="12"/>
  <c r="I626" i="12" s="1"/>
  <c r="X739" i="12"/>
  <c r="Z739" i="12" s="1"/>
  <c r="V740" i="12"/>
  <c r="O360" i="12"/>
  <c r="M360" i="12"/>
  <c r="N360" i="12" s="1"/>
  <c r="R474" i="12"/>
  <c r="S474" i="12" s="1"/>
  <c r="T474" i="12"/>
  <c r="U474" i="12" s="1"/>
  <c r="G360" i="12"/>
  <c r="I359" i="12"/>
  <c r="G816" i="12"/>
  <c r="I815" i="12"/>
  <c r="K815" i="12" s="1"/>
  <c r="AB15" i="12"/>
  <c r="E20" i="12"/>
  <c r="S16" i="12"/>
  <c r="U16" i="12" s="1"/>
  <c r="Q22" i="12" s="1"/>
  <c r="R22" i="12" s="1"/>
  <c r="Q17" i="12"/>
  <c r="I54" i="12"/>
  <c r="K54" i="12" s="1"/>
  <c r="G55" i="12"/>
  <c r="L512" i="12"/>
  <c r="N511" i="12"/>
  <c r="L474" i="12"/>
  <c r="N473" i="12"/>
  <c r="P473" i="12" s="1"/>
  <c r="O626" i="12"/>
  <c r="M626" i="12"/>
  <c r="N626" i="12" s="1"/>
  <c r="X92" i="12"/>
  <c r="V93" i="12"/>
  <c r="E630" i="12"/>
  <c r="E631" i="12"/>
  <c r="V702" i="12"/>
  <c r="X701" i="12"/>
  <c r="Z701" i="12" s="1"/>
  <c r="V816" i="12"/>
  <c r="X815" i="12"/>
  <c r="J778" i="12"/>
  <c r="H778" i="12"/>
  <c r="I778" i="12" s="1"/>
  <c r="P739" i="12"/>
  <c r="Q284" i="12"/>
  <c r="S283" i="12"/>
  <c r="U283" i="12" s="1"/>
  <c r="Q398" i="12"/>
  <c r="S397" i="12"/>
  <c r="U397" i="12" s="1"/>
  <c r="M245" i="12"/>
  <c r="N245" i="12" s="1"/>
  <c r="O245" i="12"/>
  <c r="P245" i="12" s="1"/>
  <c r="J322" i="12"/>
  <c r="H322" i="12"/>
  <c r="I322" i="12" s="1"/>
  <c r="O436" i="12"/>
  <c r="P436" i="12" s="1"/>
  <c r="M436" i="12"/>
  <c r="N436" i="12" s="1"/>
  <c r="Q664" i="12"/>
  <c r="S663" i="12"/>
  <c r="U663" i="12" s="1"/>
  <c r="K93" i="12"/>
  <c r="Y474" i="12"/>
  <c r="W474" i="12"/>
  <c r="X474" i="12" s="1"/>
  <c r="AB358" i="12"/>
  <c r="E363" i="12"/>
  <c r="AB243" i="12"/>
  <c r="E248" i="12"/>
  <c r="AB282" i="12"/>
  <c r="E287" i="12"/>
  <c r="AB167" i="12"/>
  <c r="E172" i="12"/>
  <c r="AB205" i="12"/>
  <c r="E210" i="12"/>
  <c r="N891" i="12"/>
  <c r="P891" i="12" s="1"/>
  <c r="L892" i="12"/>
  <c r="P17" i="12"/>
  <c r="U131" i="12"/>
  <c r="I244" i="12"/>
  <c r="K244" i="12" s="1"/>
  <c r="G245" i="12"/>
  <c r="U626" i="12"/>
  <c r="K359" i="12"/>
  <c r="Q854" i="12"/>
  <c r="S853" i="12"/>
  <c r="L169" i="12"/>
  <c r="N168" i="12"/>
  <c r="P168" i="12" s="1"/>
  <c r="P284" i="12"/>
  <c r="P663" i="12"/>
  <c r="G740" i="12"/>
  <c r="I739" i="12"/>
  <c r="K739" i="12" s="1"/>
  <c r="AB662" i="12"/>
  <c r="E667" i="12"/>
  <c r="L588" i="12"/>
  <c r="N587" i="12"/>
  <c r="P587" i="12" s="1"/>
  <c r="H474" i="12"/>
  <c r="I474" i="12" s="1"/>
  <c r="J474" i="12"/>
  <c r="E782" i="12"/>
  <c r="E783" i="12"/>
  <c r="X853" i="12"/>
  <c r="Z853" i="12" s="1"/>
  <c r="V854" i="12"/>
  <c r="Y626" i="12"/>
  <c r="Z626" i="12" s="1"/>
  <c r="W626" i="12"/>
  <c r="X626" i="12" s="1"/>
  <c r="Z92" i="12"/>
  <c r="H17" i="12"/>
  <c r="I17" i="12" s="1"/>
  <c r="J17" i="12"/>
  <c r="V664" i="12"/>
  <c r="X663" i="12"/>
  <c r="Z663" i="12" s="1"/>
  <c r="Q169" i="12"/>
  <c r="S168" i="12"/>
  <c r="U168" i="12" s="1"/>
  <c r="O550" i="12"/>
  <c r="M550" i="12"/>
  <c r="N550" i="12" s="1"/>
  <c r="T436" i="12"/>
  <c r="R436" i="12"/>
  <c r="S436" i="12" s="1"/>
  <c r="O207" i="12"/>
  <c r="M207" i="12"/>
  <c r="N207" i="12" s="1"/>
  <c r="P833" i="12"/>
  <c r="S832" i="12" s="1"/>
  <c r="Z815" i="12"/>
  <c r="L854" i="12"/>
  <c r="N853" i="12"/>
  <c r="P853" i="12" s="1"/>
  <c r="R55" i="12"/>
  <c r="S55" i="12" s="1"/>
  <c r="T55" i="12"/>
  <c r="G207" i="12"/>
  <c r="I206" i="12"/>
  <c r="K206" i="12" s="1"/>
  <c r="U815" i="12"/>
  <c r="I168" i="12"/>
  <c r="K168" i="12" s="1"/>
  <c r="G169" i="12"/>
  <c r="I663" i="12"/>
  <c r="K663" i="12" s="1"/>
  <c r="G664" i="12"/>
  <c r="Q588" i="12"/>
  <c r="S587" i="12"/>
  <c r="U587" i="12" s="1"/>
  <c r="R892" i="12"/>
  <c r="S892" i="12" s="1"/>
  <c r="T892" i="12"/>
  <c r="AB472" i="12"/>
  <c r="E477" i="12"/>
  <c r="P909" i="13"/>
  <c r="S908" i="13" s="1"/>
  <c r="AB890" i="13"/>
  <c r="E895" i="13"/>
  <c r="W892" i="13"/>
  <c r="X892" i="13" s="1"/>
  <c r="Y892" i="13"/>
  <c r="K892" i="13"/>
  <c r="T892" i="13"/>
  <c r="R892" i="13"/>
  <c r="S892" i="13" s="1"/>
  <c r="N891" i="13"/>
  <c r="P891" i="13" s="1"/>
  <c r="L892" i="13"/>
  <c r="O854" i="13"/>
  <c r="M854" i="13"/>
  <c r="N854" i="13" s="1"/>
  <c r="AB852" i="13"/>
  <c r="E857" i="13"/>
  <c r="G854" i="13"/>
  <c r="I853" i="13"/>
  <c r="K853" i="13" s="1"/>
  <c r="R854" i="13"/>
  <c r="S854" i="13" s="1"/>
  <c r="T854" i="13"/>
  <c r="Z816" i="13"/>
  <c r="I815" i="13"/>
  <c r="K815" i="13" s="1"/>
  <c r="G816" i="13"/>
  <c r="M816" i="13"/>
  <c r="N816" i="13" s="1"/>
  <c r="O816" i="13"/>
  <c r="P816" i="13" s="1"/>
  <c r="R816" i="13"/>
  <c r="S816" i="13" s="1"/>
  <c r="T816" i="13"/>
  <c r="AB814" i="13"/>
  <c r="E819" i="13"/>
  <c r="I777" i="13"/>
  <c r="K777" i="13" s="1"/>
  <c r="G778" i="13"/>
  <c r="V778" i="13"/>
  <c r="X777" i="13"/>
  <c r="Z777" i="13" s="1"/>
  <c r="R778" i="13"/>
  <c r="S778" i="13" s="1"/>
  <c r="T778" i="13"/>
  <c r="N777" i="13"/>
  <c r="P777" i="13" s="1"/>
  <c r="L778" i="13"/>
  <c r="AB776" i="13"/>
  <c r="E781" i="13"/>
  <c r="Z740" i="13"/>
  <c r="R740" i="13"/>
  <c r="S740" i="13" s="1"/>
  <c r="T740" i="13"/>
  <c r="M740" i="13"/>
  <c r="N740" i="13" s="1"/>
  <c r="O740" i="13"/>
  <c r="P740" i="13" s="1"/>
  <c r="I739" i="13"/>
  <c r="K739" i="13" s="1"/>
  <c r="G740" i="13"/>
  <c r="AB738" i="13"/>
  <c r="E743" i="13"/>
  <c r="W702" i="13"/>
  <c r="X702" i="13" s="1"/>
  <c r="Y702" i="13"/>
  <c r="P719" i="13"/>
  <c r="S718" i="13" s="1"/>
  <c r="N701" i="13"/>
  <c r="P701" i="13" s="1"/>
  <c r="L702" i="13"/>
  <c r="K702" i="13"/>
  <c r="R702" i="13"/>
  <c r="S702" i="13" s="1"/>
  <c r="T702" i="13"/>
  <c r="AB700" i="13"/>
  <c r="E705" i="13"/>
  <c r="L664" i="13"/>
  <c r="N663" i="13"/>
  <c r="P663" i="13" s="1"/>
  <c r="W664" i="13"/>
  <c r="X664" i="13" s="1"/>
  <c r="Y664" i="13"/>
  <c r="K664" i="13"/>
  <c r="AB662" i="13"/>
  <c r="E667" i="13"/>
  <c r="R664" i="13"/>
  <c r="S664" i="13" s="1"/>
  <c r="T664" i="13"/>
  <c r="U664" i="13" s="1"/>
  <c r="Z626" i="13"/>
  <c r="N625" i="13"/>
  <c r="P625" i="13" s="1"/>
  <c r="L626" i="13"/>
  <c r="AB624" i="13"/>
  <c r="E629" i="13"/>
  <c r="Z588" i="13"/>
  <c r="N587" i="13"/>
  <c r="P587" i="13" s="1"/>
  <c r="L588" i="13"/>
  <c r="J588" i="13"/>
  <c r="H588" i="13"/>
  <c r="I588" i="13" s="1"/>
  <c r="R588" i="13"/>
  <c r="S588" i="13" s="1"/>
  <c r="T588" i="13"/>
  <c r="E592" i="13"/>
  <c r="N549" i="13"/>
  <c r="P549" i="13" s="1"/>
  <c r="L550" i="13"/>
  <c r="R550" i="13"/>
  <c r="S550" i="13" s="1"/>
  <c r="T550" i="13"/>
  <c r="AB548" i="13"/>
  <c r="E553" i="13"/>
  <c r="I511" i="13"/>
  <c r="K511" i="13" s="1"/>
  <c r="G512" i="13"/>
  <c r="M512" i="13"/>
  <c r="N512" i="13" s="1"/>
  <c r="O512" i="13"/>
  <c r="R512" i="13"/>
  <c r="S512" i="13" s="1"/>
  <c r="T512" i="13"/>
  <c r="Z512" i="13"/>
  <c r="AB510" i="13"/>
  <c r="E515" i="13"/>
  <c r="Y474" i="13"/>
  <c r="W474" i="13"/>
  <c r="X474" i="13" s="1"/>
  <c r="Q474" i="13"/>
  <c r="S473" i="13"/>
  <c r="U473" i="13"/>
  <c r="K473" i="13"/>
  <c r="AB472" i="13"/>
  <c r="E477" i="13"/>
  <c r="I473" i="13"/>
  <c r="G474" i="13"/>
  <c r="M474" i="13"/>
  <c r="N474" i="13" s="1"/>
  <c r="O474" i="13"/>
  <c r="W436" i="13"/>
  <c r="X436" i="13" s="1"/>
  <c r="Y436" i="13"/>
  <c r="K436" i="13"/>
  <c r="AB434" i="13"/>
  <c r="E439" i="13"/>
  <c r="L436" i="13"/>
  <c r="N435" i="13"/>
  <c r="P435" i="13" s="1"/>
  <c r="R436" i="13"/>
  <c r="S436" i="13" s="1"/>
  <c r="T436" i="13"/>
  <c r="Z398" i="13"/>
  <c r="N397" i="13"/>
  <c r="P397" i="13" s="1"/>
  <c r="L398" i="13"/>
  <c r="AB396" i="13"/>
  <c r="E401" i="13"/>
  <c r="Q360" i="13"/>
  <c r="S359" i="13"/>
  <c r="U359" i="13" s="1"/>
  <c r="AB358" i="13"/>
  <c r="E363" i="13"/>
  <c r="L360" i="13"/>
  <c r="N359" i="13"/>
  <c r="P359" i="13" s="1"/>
  <c r="X359" i="13"/>
  <c r="V360" i="13"/>
  <c r="H360" i="13"/>
  <c r="I360" i="13" s="1"/>
  <c r="J360" i="13"/>
  <c r="Z359" i="13"/>
  <c r="Z322" i="13"/>
  <c r="K322" i="13"/>
  <c r="R322" i="13"/>
  <c r="S322" i="13" s="1"/>
  <c r="T322" i="13"/>
  <c r="AB320" i="13"/>
  <c r="E325" i="13"/>
  <c r="N321" i="13"/>
  <c r="P321" i="13" s="1"/>
  <c r="L322" i="13"/>
  <c r="L284" i="13"/>
  <c r="N283" i="13"/>
  <c r="P283" i="13" s="1"/>
  <c r="W284" i="13"/>
  <c r="X284" i="13" s="1"/>
  <c r="Y284" i="13"/>
  <c r="S283" i="13"/>
  <c r="Q284" i="13"/>
  <c r="G284" i="13"/>
  <c r="I283" i="13"/>
  <c r="K283" i="13" s="1"/>
  <c r="U283" i="13"/>
  <c r="AB282" i="13"/>
  <c r="E287" i="13"/>
  <c r="G245" i="13"/>
  <c r="J245" i="13" s="1"/>
  <c r="T54" i="13"/>
  <c r="R54" i="13"/>
  <c r="T206" i="13"/>
  <c r="R206" i="13"/>
  <c r="Y245" i="13"/>
  <c r="Z245" i="13" s="1"/>
  <c r="W245" i="13"/>
  <c r="X245" i="13" s="1"/>
  <c r="Q250" i="13"/>
  <c r="R250" i="13" s="1"/>
  <c r="AA244" i="13"/>
  <c r="M245" i="13"/>
  <c r="N245" i="13" s="1"/>
  <c r="O245" i="13"/>
  <c r="E249" i="13"/>
  <c r="E250" i="13"/>
  <c r="AA205" i="13"/>
  <c r="Q211" i="13"/>
  <c r="R211" i="13" s="1"/>
  <c r="O206" i="13"/>
  <c r="M206" i="13"/>
  <c r="P224" i="13"/>
  <c r="S223" i="13" s="1"/>
  <c r="AA167" i="13"/>
  <c r="Q173" i="13"/>
  <c r="R173" i="13" s="1"/>
  <c r="B173" i="13"/>
  <c r="Y168" i="13"/>
  <c r="W168" i="13"/>
  <c r="Q169" i="13"/>
  <c r="S168" i="13"/>
  <c r="U168" i="13" s="1"/>
  <c r="H168" i="13"/>
  <c r="J168" i="13"/>
  <c r="L185" i="13"/>
  <c r="S185" i="13" s="1"/>
  <c r="M169" i="13"/>
  <c r="N169" i="13" s="1"/>
  <c r="O169" i="13"/>
  <c r="Y131" i="13"/>
  <c r="W131" i="13"/>
  <c r="X131" i="13" s="1"/>
  <c r="J130" i="13"/>
  <c r="H130" i="13"/>
  <c r="Q131" i="13"/>
  <c r="S130" i="13"/>
  <c r="U130" i="13" s="1"/>
  <c r="Q135" i="13"/>
  <c r="R135" i="13" s="1"/>
  <c r="AA129" i="13"/>
  <c r="N130" i="13"/>
  <c r="P130" i="13" s="1"/>
  <c r="L131" i="13"/>
  <c r="B135" i="13"/>
  <c r="P148" i="13"/>
  <c r="S147" i="13" s="1"/>
  <c r="Q97" i="13"/>
  <c r="R97" i="13" s="1"/>
  <c r="AA91" i="13"/>
  <c r="Y92" i="13"/>
  <c r="W92" i="13"/>
  <c r="I92" i="13"/>
  <c r="K92" i="13" s="1"/>
  <c r="G93" i="13"/>
  <c r="M92" i="13"/>
  <c r="O92" i="13"/>
  <c r="R92" i="13"/>
  <c r="T92" i="13"/>
  <c r="P72" i="13"/>
  <c r="S71" i="13" s="1"/>
  <c r="J54" i="13"/>
  <c r="H54" i="13"/>
  <c r="N54" i="13"/>
  <c r="P54" i="13" s="1"/>
  <c r="L55" i="13"/>
  <c r="W55" i="13"/>
  <c r="X55" i="13" s="1"/>
  <c r="Y55" i="13"/>
  <c r="AA53" i="13"/>
  <c r="Q59" i="13"/>
  <c r="R59" i="13" s="1"/>
  <c r="B59" i="13"/>
  <c r="U16" i="13"/>
  <c r="S16" i="13"/>
  <c r="Q17" i="13"/>
  <c r="AA15" i="13"/>
  <c r="Q21" i="13"/>
  <c r="R21" i="13" s="1"/>
  <c r="V17" i="13"/>
  <c r="X16" i="13"/>
  <c r="Z16" i="13" s="1"/>
  <c r="O16" i="13"/>
  <c r="M16" i="13"/>
  <c r="J17" i="13"/>
  <c r="H17" i="13"/>
  <c r="I17" i="13" s="1"/>
  <c r="P34" i="13"/>
  <c r="S33" i="13" s="1"/>
  <c r="L15" i="11"/>
  <c r="N14" i="11"/>
  <c r="P14" i="11" s="1"/>
  <c r="H14" i="11"/>
  <c r="J14" i="11"/>
  <c r="B19" i="11"/>
  <c r="Y14" i="11"/>
  <c r="W14" i="11"/>
  <c r="T14" i="11"/>
  <c r="R14" i="11"/>
  <c r="M19" i="17" l="1"/>
  <c r="K20" i="17"/>
  <c r="M20" i="17" s="1"/>
  <c r="K22" i="18"/>
  <c r="M22" i="18" s="1"/>
  <c r="K20" i="18"/>
  <c r="M20" i="18" s="1"/>
  <c r="K21" i="18"/>
  <c r="M21" i="18" s="1"/>
  <c r="M19" i="18"/>
  <c r="U22" i="18"/>
  <c r="AB15" i="16"/>
  <c r="R21" i="16"/>
  <c r="R22" i="16" s="1"/>
  <c r="K18" i="16"/>
  <c r="M18" i="16" s="1"/>
  <c r="AA816" i="6"/>
  <c r="H783" i="6"/>
  <c r="H784" i="6"/>
  <c r="H781" i="6"/>
  <c r="Q594" i="6"/>
  <c r="R594" i="6" s="1"/>
  <c r="R595" i="6" s="1"/>
  <c r="P550" i="6"/>
  <c r="AA550" i="6" s="1"/>
  <c r="Q366" i="6"/>
  <c r="R366" i="6" s="1"/>
  <c r="R367" i="6" s="1"/>
  <c r="K207" i="6"/>
  <c r="Z93" i="6"/>
  <c r="AB702" i="6"/>
  <c r="K706" i="6" s="1"/>
  <c r="K705" i="6"/>
  <c r="AB54" i="6"/>
  <c r="H58" i="6"/>
  <c r="AA626" i="6"/>
  <c r="AB626" i="6" s="1"/>
  <c r="Z245" i="6"/>
  <c r="Q251" i="6" s="1"/>
  <c r="R251" i="6" s="1"/>
  <c r="R252" i="6" s="1"/>
  <c r="U740" i="6"/>
  <c r="AB16" i="6"/>
  <c r="H20" i="6"/>
  <c r="U284" i="6"/>
  <c r="Q290" i="6" s="1"/>
  <c r="R290" i="6" s="1"/>
  <c r="R291" i="6" s="1"/>
  <c r="U512" i="6"/>
  <c r="AB130" i="6"/>
  <c r="H134" i="6"/>
  <c r="P322" i="6"/>
  <c r="Q480" i="6"/>
  <c r="R480" i="6" s="1"/>
  <c r="R481" i="6" s="1"/>
  <c r="AA474" i="6"/>
  <c r="AB474" i="6" s="1"/>
  <c r="AA398" i="6"/>
  <c r="Q404" i="6"/>
  <c r="R404" i="6" s="1"/>
  <c r="R405" i="6" s="1"/>
  <c r="Z626" i="6"/>
  <c r="Q632" i="6" s="1"/>
  <c r="R632" i="6" s="1"/>
  <c r="R633" i="6" s="1"/>
  <c r="AB435" i="6"/>
  <c r="H439" i="6"/>
  <c r="H668" i="6"/>
  <c r="AB283" i="6"/>
  <c r="H287" i="6"/>
  <c r="H173" i="6"/>
  <c r="H175" i="6"/>
  <c r="H174" i="6"/>
  <c r="H97" i="6"/>
  <c r="AB359" i="6"/>
  <c r="K364" i="6" s="1"/>
  <c r="K363" i="6"/>
  <c r="H363" i="6"/>
  <c r="H706" i="6"/>
  <c r="H707" i="6"/>
  <c r="H708" i="6"/>
  <c r="H820" i="6"/>
  <c r="H822" i="6"/>
  <c r="H821" i="6"/>
  <c r="M705" i="6"/>
  <c r="Z740" i="6"/>
  <c r="U664" i="6"/>
  <c r="AA664" i="6" s="1"/>
  <c r="P131" i="6"/>
  <c r="AB244" i="6"/>
  <c r="H248" i="6"/>
  <c r="U778" i="6"/>
  <c r="AA778" i="6" s="1"/>
  <c r="K740" i="6"/>
  <c r="AB549" i="6"/>
  <c r="H553" i="6"/>
  <c r="K55" i="6"/>
  <c r="P245" i="6"/>
  <c r="P436" i="6"/>
  <c r="P169" i="6"/>
  <c r="P93" i="6"/>
  <c r="Q556" i="6"/>
  <c r="R556" i="6" s="1"/>
  <c r="R557" i="6" s="1"/>
  <c r="AB891" i="6"/>
  <c r="H895" i="6"/>
  <c r="H402" i="6"/>
  <c r="H403" i="6"/>
  <c r="H404" i="6"/>
  <c r="AB625" i="6"/>
  <c r="H629" i="6"/>
  <c r="Q213" i="6"/>
  <c r="R213" i="6" s="1"/>
  <c r="R214" i="6" s="1"/>
  <c r="AA207" i="6"/>
  <c r="AB207" i="6" s="1"/>
  <c r="AA588" i="6"/>
  <c r="AB511" i="6"/>
  <c r="H515" i="6"/>
  <c r="AB739" i="6"/>
  <c r="H743" i="6"/>
  <c r="AB321" i="6"/>
  <c r="H325" i="6"/>
  <c r="AB854" i="6"/>
  <c r="K857" i="6"/>
  <c r="M857" i="6" s="1"/>
  <c r="K858" i="6"/>
  <c r="M858" i="6" s="1"/>
  <c r="AB473" i="6"/>
  <c r="H477" i="6"/>
  <c r="P17" i="6"/>
  <c r="H592" i="6"/>
  <c r="H594" i="6"/>
  <c r="H593" i="6"/>
  <c r="K892" i="6"/>
  <c r="AB206" i="6"/>
  <c r="H210" i="6"/>
  <c r="K210" i="6"/>
  <c r="P854" i="5"/>
  <c r="Z816" i="5"/>
  <c r="P740" i="5"/>
  <c r="K664" i="5"/>
  <c r="P664" i="5"/>
  <c r="K550" i="5"/>
  <c r="P512" i="5"/>
  <c r="U436" i="5"/>
  <c r="Q442" i="5" s="1"/>
  <c r="R442" i="5" s="1"/>
  <c r="R443" i="5" s="1"/>
  <c r="AA398" i="5"/>
  <c r="AB398" i="5" s="1"/>
  <c r="K404" i="5" s="1"/>
  <c r="U360" i="5"/>
  <c r="AA360" i="5" s="1"/>
  <c r="P322" i="5"/>
  <c r="AA322" i="5" s="1"/>
  <c r="U322" i="5"/>
  <c r="K284" i="5"/>
  <c r="Q290" i="5" s="1"/>
  <c r="R290" i="5" s="1"/>
  <c r="R291" i="5" s="1"/>
  <c r="K245" i="5"/>
  <c r="Q251" i="5" s="1"/>
  <c r="R251" i="5" s="1"/>
  <c r="R252" i="5" s="1"/>
  <c r="P207" i="5"/>
  <c r="AA207" i="5" s="1"/>
  <c r="AB207" i="5" s="1"/>
  <c r="P131" i="5"/>
  <c r="M477" i="5"/>
  <c r="H630" i="5"/>
  <c r="H632" i="5"/>
  <c r="H631" i="5"/>
  <c r="Q366" i="5"/>
  <c r="R366" i="5" s="1"/>
  <c r="R367" i="5" s="1"/>
  <c r="AA55" i="5"/>
  <c r="AB55" i="5" s="1"/>
  <c r="AB244" i="5"/>
  <c r="H248" i="5"/>
  <c r="AB16" i="5"/>
  <c r="H20" i="5"/>
  <c r="K479" i="5"/>
  <c r="H478" i="5"/>
  <c r="H480" i="5"/>
  <c r="K480" i="5"/>
  <c r="K481" i="5"/>
  <c r="M481" i="5" s="1"/>
  <c r="H479" i="5"/>
  <c r="M479" i="5" s="1"/>
  <c r="AB206" i="5"/>
  <c r="H210" i="5"/>
  <c r="Z245" i="5"/>
  <c r="K169" i="5"/>
  <c r="U512" i="5"/>
  <c r="U588" i="5"/>
  <c r="Z169" i="5"/>
  <c r="AB168" i="5"/>
  <c r="H172" i="5"/>
  <c r="AB92" i="5"/>
  <c r="H96" i="5"/>
  <c r="AB321" i="5"/>
  <c r="H325" i="5"/>
  <c r="Q328" i="5"/>
  <c r="R328" i="5" s="1"/>
  <c r="R329" i="5" s="1"/>
  <c r="Z55" i="5"/>
  <c r="Q61" i="5" s="1"/>
  <c r="R61" i="5" s="1"/>
  <c r="R62" i="5" s="1"/>
  <c r="U207" i="5"/>
  <c r="Q213" i="5" s="1"/>
  <c r="R213" i="5" s="1"/>
  <c r="R214" i="5" s="1"/>
  <c r="P816" i="5"/>
  <c r="H402" i="5"/>
  <c r="K403" i="5"/>
  <c r="H404" i="5"/>
  <c r="H403" i="5"/>
  <c r="K854" i="5"/>
  <c r="K477" i="5"/>
  <c r="K816" i="5"/>
  <c r="P588" i="5"/>
  <c r="U740" i="5"/>
  <c r="AA740" i="5" s="1"/>
  <c r="P245" i="5"/>
  <c r="Q632" i="5"/>
  <c r="R632" i="5" s="1"/>
  <c r="R633" i="5" s="1"/>
  <c r="AA626" i="5"/>
  <c r="U17" i="5"/>
  <c r="U664" i="5"/>
  <c r="AA664" i="5" s="1"/>
  <c r="AA702" i="5"/>
  <c r="Q708" i="5"/>
  <c r="R708" i="5" s="1"/>
  <c r="R709" i="5" s="1"/>
  <c r="P17" i="5"/>
  <c r="AA17" i="5" s="1"/>
  <c r="U550" i="5"/>
  <c r="AB891" i="5"/>
  <c r="H895" i="5"/>
  <c r="U816" i="5"/>
  <c r="K892" i="5"/>
  <c r="Z436" i="5"/>
  <c r="Z778" i="5"/>
  <c r="Q784" i="5" s="1"/>
  <c r="R784" i="5" s="1"/>
  <c r="R785" i="5" s="1"/>
  <c r="K512" i="5"/>
  <c r="AB739" i="5"/>
  <c r="H743" i="5"/>
  <c r="AB54" i="5"/>
  <c r="Q99" i="5"/>
  <c r="R99" i="5" s="1"/>
  <c r="R100" i="5" s="1"/>
  <c r="AA245" i="5"/>
  <c r="AB245" i="5" s="1"/>
  <c r="AB130" i="5"/>
  <c r="H134" i="5"/>
  <c r="AB587" i="5"/>
  <c r="H591" i="5"/>
  <c r="AB511" i="5"/>
  <c r="H515" i="5"/>
  <c r="AB283" i="5"/>
  <c r="H287" i="5"/>
  <c r="P550" i="5"/>
  <c r="Q23" i="5"/>
  <c r="R23" i="5" s="1"/>
  <c r="U854" i="5"/>
  <c r="H706" i="5"/>
  <c r="H708" i="5"/>
  <c r="H707" i="5"/>
  <c r="Z740" i="5"/>
  <c r="AB853" i="5"/>
  <c r="H857" i="5"/>
  <c r="AA778" i="5"/>
  <c r="AB778" i="5" s="1"/>
  <c r="AB549" i="5"/>
  <c r="H553" i="5"/>
  <c r="K478" i="5"/>
  <c r="P93" i="5"/>
  <c r="AA93" i="5" s="1"/>
  <c r="AB663" i="5"/>
  <c r="H667" i="5"/>
  <c r="Z588" i="5"/>
  <c r="AB815" i="5"/>
  <c r="H819" i="5"/>
  <c r="AB435" i="5"/>
  <c r="H439" i="5"/>
  <c r="U131" i="5"/>
  <c r="Q137" i="5" s="1"/>
  <c r="R137" i="5" s="1"/>
  <c r="R138" i="5" s="1"/>
  <c r="Z207" i="5"/>
  <c r="Z284" i="5"/>
  <c r="Q556" i="5"/>
  <c r="R556" i="5" s="1"/>
  <c r="R557" i="5" s="1"/>
  <c r="AB359" i="5"/>
  <c r="H363" i="5"/>
  <c r="R24" i="5"/>
  <c r="AB777" i="5"/>
  <c r="H781" i="5"/>
  <c r="U892" i="12"/>
  <c r="Z892" i="12"/>
  <c r="K778" i="12"/>
  <c r="K626" i="12"/>
  <c r="U512" i="12"/>
  <c r="P360" i="12"/>
  <c r="K322" i="12"/>
  <c r="Q328" i="12" s="1"/>
  <c r="R328" i="12" s="1"/>
  <c r="R329" i="12" s="1"/>
  <c r="Z245" i="12"/>
  <c r="Q137" i="12"/>
  <c r="R137" i="12" s="1"/>
  <c r="R138" i="12" s="1"/>
  <c r="Z17" i="12"/>
  <c r="Q745" i="12"/>
  <c r="R745" i="12" s="1"/>
  <c r="AA739" i="12"/>
  <c r="Q897" i="12"/>
  <c r="R897" i="12" s="1"/>
  <c r="AA891" i="12"/>
  <c r="AA283" i="12"/>
  <c r="Q289" i="12"/>
  <c r="R289" i="12" s="1"/>
  <c r="Q60" i="12"/>
  <c r="R60" i="12" s="1"/>
  <c r="AA54" i="12"/>
  <c r="AA663" i="12"/>
  <c r="Q669" i="12"/>
  <c r="R669" i="12" s="1"/>
  <c r="AA435" i="12"/>
  <c r="Q441" i="12"/>
  <c r="R441" i="12" s="1"/>
  <c r="Q593" i="12"/>
  <c r="R593" i="12" s="1"/>
  <c r="AA587" i="12"/>
  <c r="Q707" i="12"/>
  <c r="R707" i="12" s="1"/>
  <c r="AA701" i="12"/>
  <c r="AA206" i="12"/>
  <c r="Q212" i="12"/>
  <c r="R212" i="12" s="1"/>
  <c r="Q403" i="12"/>
  <c r="R403" i="12" s="1"/>
  <c r="AA397" i="12"/>
  <c r="Q250" i="12"/>
  <c r="R250" i="12" s="1"/>
  <c r="AA244" i="12"/>
  <c r="Q174" i="12"/>
  <c r="R174" i="12" s="1"/>
  <c r="AA168" i="12"/>
  <c r="AA473" i="12"/>
  <c r="Q479" i="12"/>
  <c r="R479" i="12" s="1"/>
  <c r="E478" i="12"/>
  <c r="E479" i="12"/>
  <c r="M854" i="12"/>
  <c r="N854" i="12" s="1"/>
  <c r="O854" i="12"/>
  <c r="T17" i="12"/>
  <c r="R17" i="12"/>
  <c r="S17" i="12" s="1"/>
  <c r="AA16" i="12"/>
  <c r="J360" i="12"/>
  <c r="H360" i="12"/>
  <c r="I360" i="12" s="1"/>
  <c r="E97" i="12"/>
  <c r="E98" i="12"/>
  <c r="H854" i="12"/>
  <c r="I854" i="12" s="1"/>
  <c r="J854" i="12"/>
  <c r="W436" i="12"/>
  <c r="X436" i="12" s="1"/>
  <c r="Y436" i="12"/>
  <c r="AB321" i="12"/>
  <c r="H325" i="12"/>
  <c r="AB777" i="12"/>
  <c r="H781" i="12"/>
  <c r="M93" i="12"/>
  <c r="N93" i="12" s="1"/>
  <c r="O93" i="12"/>
  <c r="P93" i="12" s="1"/>
  <c r="E440" i="12"/>
  <c r="E441" i="12"/>
  <c r="E896" i="12"/>
  <c r="E897" i="12"/>
  <c r="T93" i="12"/>
  <c r="R93" i="12"/>
  <c r="S93" i="12" s="1"/>
  <c r="O816" i="12"/>
  <c r="P816" i="12" s="1"/>
  <c r="M816" i="12"/>
  <c r="N816" i="12" s="1"/>
  <c r="AA853" i="12"/>
  <c r="Q859" i="12"/>
  <c r="R859" i="12" s="1"/>
  <c r="T207" i="12"/>
  <c r="U207" i="12" s="1"/>
  <c r="R207" i="12"/>
  <c r="S207" i="12" s="1"/>
  <c r="H664" i="12"/>
  <c r="I664" i="12" s="1"/>
  <c r="J664" i="12"/>
  <c r="Q517" i="12"/>
  <c r="R517" i="12" s="1"/>
  <c r="AA511" i="12"/>
  <c r="U55" i="12"/>
  <c r="P207" i="12"/>
  <c r="P550" i="12"/>
  <c r="Q556" i="12" s="1"/>
  <c r="R556" i="12" s="1"/>
  <c r="R557" i="12" s="1"/>
  <c r="Y664" i="12"/>
  <c r="W664" i="12"/>
  <c r="X664" i="12" s="1"/>
  <c r="Y854" i="12"/>
  <c r="Z854" i="12" s="1"/>
  <c r="W854" i="12"/>
  <c r="X854" i="12" s="1"/>
  <c r="K474" i="12"/>
  <c r="J245" i="12"/>
  <c r="H245" i="12"/>
  <c r="I245" i="12" s="1"/>
  <c r="E173" i="12"/>
  <c r="E174" i="12"/>
  <c r="E364" i="12"/>
  <c r="E365" i="12"/>
  <c r="T284" i="12"/>
  <c r="R284" i="12"/>
  <c r="S284" i="12" s="1"/>
  <c r="W702" i="12"/>
  <c r="X702" i="12" s="1"/>
  <c r="Y702" i="12"/>
  <c r="P626" i="12"/>
  <c r="Q632" i="12" s="1"/>
  <c r="R632" i="12" s="1"/>
  <c r="R633" i="12" s="1"/>
  <c r="M474" i="12"/>
  <c r="N474" i="12" s="1"/>
  <c r="O474" i="12"/>
  <c r="J55" i="12"/>
  <c r="H55" i="12"/>
  <c r="I55" i="12" s="1"/>
  <c r="E21" i="12"/>
  <c r="E22" i="12"/>
  <c r="Q98" i="12"/>
  <c r="R98" i="12" s="1"/>
  <c r="AA92" i="12"/>
  <c r="K284" i="12"/>
  <c r="T740" i="12"/>
  <c r="R740" i="12"/>
  <c r="S740" i="12" s="1"/>
  <c r="E744" i="12"/>
  <c r="E745" i="12"/>
  <c r="P778" i="12"/>
  <c r="E402" i="12"/>
  <c r="E403" i="12"/>
  <c r="R816" i="12"/>
  <c r="S816" i="12" s="1"/>
  <c r="T816" i="12"/>
  <c r="R702" i="12"/>
  <c r="S702" i="12" s="1"/>
  <c r="T702" i="12"/>
  <c r="AB549" i="12"/>
  <c r="H553" i="12"/>
  <c r="AB625" i="12"/>
  <c r="H629" i="12"/>
  <c r="M588" i="12"/>
  <c r="N588" i="12" s="1"/>
  <c r="O588" i="12"/>
  <c r="T398" i="12"/>
  <c r="U398" i="12" s="1"/>
  <c r="R398" i="12"/>
  <c r="S398" i="12" s="1"/>
  <c r="AA322" i="12"/>
  <c r="AB322" i="12" s="1"/>
  <c r="W93" i="12"/>
  <c r="X93" i="12" s="1"/>
  <c r="Y93" i="12"/>
  <c r="J816" i="12"/>
  <c r="H816" i="12"/>
  <c r="I816" i="12" s="1"/>
  <c r="E858" i="12"/>
  <c r="E859" i="12"/>
  <c r="AA131" i="12"/>
  <c r="AB131" i="12" s="1"/>
  <c r="W588" i="12"/>
  <c r="X588" i="12" s="1"/>
  <c r="Y588" i="12"/>
  <c r="Z588" i="12" s="1"/>
  <c r="H207" i="12"/>
  <c r="I207" i="12" s="1"/>
  <c r="J207" i="12"/>
  <c r="K207" i="12" s="1"/>
  <c r="Q821" i="12"/>
  <c r="R821" i="12" s="1"/>
  <c r="AA815" i="12"/>
  <c r="E288" i="12"/>
  <c r="E289" i="12"/>
  <c r="M512" i="12"/>
  <c r="N512" i="12" s="1"/>
  <c r="O512" i="12"/>
  <c r="E706" i="12"/>
  <c r="E707" i="12"/>
  <c r="T854" i="12"/>
  <c r="R854" i="12"/>
  <c r="S854" i="12" s="1"/>
  <c r="E249" i="12"/>
  <c r="E250" i="12"/>
  <c r="R664" i="12"/>
  <c r="S664" i="12" s="1"/>
  <c r="T664" i="12"/>
  <c r="Y816" i="12"/>
  <c r="W816" i="12"/>
  <c r="X816" i="12" s="1"/>
  <c r="M740" i="12"/>
  <c r="N740" i="12" s="1"/>
  <c r="O740" i="12"/>
  <c r="H512" i="12"/>
  <c r="I512" i="12" s="1"/>
  <c r="J512" i="12"/>
  <c r="T588" i="12"/>
  <c r="R588" i="12"/>
  <c r="S588" i="12" s="1"/>
  <c r="H169" i="12"/>
  <c r="I169" i="12" s="1"/>
  <c r="J169" i="12"/>
  <c r="U436" i="12"/>
  <c r="T169" i="12"/>
  <c r="R169" i="12"/>
  <c r="S169" i="12" s="1"/>
  <c r="K17" i="12"/>
  <c r="E668" i="12"/>
  <c r="E669" i="12"/>
  <c r="H740" i="12"/>
  <c r="I740" i="12" s="1"/>
  <c r="J740" i="12"/>
  <c r="O169" i="12"/>
  <c r="M169" i="12"/>
  <c r="N169" i="12" s="1"/>
  <c r="Q365" i="12"/>
  <c r="R365" i="12" s="1"/>
  <c r="AA359" i="12"/>
  <c r="O892" i="12"/>
  <c r="P892" i="12" s="1"/>
  <c r="M892" i="12"/>
  <c r="N892" i="12" s="1"/>
  <c r="E211" i="12"/>
  <c r="E212" i="12"/>
  <c r="Z474" i="12"/>
  <c r="W740" i="12"/>
  <c r="X740" i="12" s="1"/>
  <c r="Y740" i="12"/>
  <c r="K702" i="12"/>
  <c r="P398" i="12"/>
  <c r="AA550" i="12"/>
  <c r="AB550" i="12" s="1"/>
  <c r="H588" i="12"/>
  <c r="I588" i="12" s="1"/>
  <c r="J588" i="12"/>
  <c r="U360" i="12"/>
  <c r="AB130" i="12"/>
  <c r="H134" i="12"/>
  <c r="E820" i="12"/>
  <c r="E821" i="12"/>
  <c r="W169" i="12"/>
  <c r="X169" i="12" s="1"/>
  <c r="Y169" i="12"/>
  <c r="K892" i="12"/>
  <c r="E516" i="12"/>
  <c r="E517" i="12"/>
  <c r="E592" i="12"/>
  <c r="E593" i="12"/>
  <c r="E59" i="12"/>
  <c r="E60" i="12"/>
  <c r="M664" i="12"/>
  <c r="N664" i="12" s="1"/>
  <c r="O664" i="12"/>
  <c r="AA891" i="13"/>
  <c r="Q897" i="13"/>
  <c r="R897" i="13" s="1"/>
  <c r="O892" i="13"/>
  <c r="M892" i="13"/>
  <c r="N892" i="13" s="1"/>
  <c r="Z892" i="13"/>
  <c r="E896" i="13"/>
  <c r="E897" i="13"/>
  <c r="U892" i="13"/>
  <c r="U854" i="13"/>
  <c r="J854" i="13"/>
  <c r="H854" i="13"/>
  <c r="I854" i="13" s="1"/>
  <c r="P854" i="13"/>
  <c r="E858" i="13"/>
  <c r="E859" i="13"/>
  <c r="Q859" i="13"/>
  <c r="R859" i="13" s="1"/>
  <c r="AA853" i="13"/>
  <c r="U816" i="13"/>
  <c r="Q821" i="13"/>
  <c r="R821" i="13" s="1"/>
  <c r="AA815" i="13"/>
  <c r="E820" i="13"/>
  <c r="E821" i="13"/>
  <c r="J816" i="13"/>
  <c r="H816" i="13"/>
  <c r="I816" i="13" s="1"/>
  <c r="Q783" i="13"/>
  <c r="R783" i="13" s="1"/>
  <c r="AA777" i="13"/>
  <c r="E782" i="13"/>
  <c r="E783" i="13"/>
  <c r="M778" i="13"/>
  <c r="N778" i="13" s="1"/>
  <c r="O778" i="13"/>
  <c r="Y778" i="13"/>
  <c r="W778" i="13"/>
  <c r="X778" i="13" s="1"/>
  <c r="U778" i="13"/>
  <c r="J778" i="13"/>
  <c r="H778" i="13"/>
  <c r="I778" i="13" s="1"/>
  <c r="U740" i="13"/>
  <c r="Q745" i="13"/>
  <c r="R745" i="13" s="1"/>
  <c r="AA739" i="13"/>
  <c r="E744" i="13"/>
  <c r="E745" i="13"/>
  <c r="J740" i="13"/>
  <c r="H740" i="13"/>
  <c r="I740" i="13" s="1"/>
  <c r="Z702" i="13"/>
  <c r="U702" i="13"/>
  <c r="Q707" i="13"/>
  <c r="R707" i="13" s="1"/>
  <c r="AA701" i="13"/>
  <c r="E706" i="13"/>
  <c r="E707" i="13"/>
  <c r="O702" i="13"/>
  <c r="M702" i="13"/>
  <c r="N702" i="13" s="1"/>
  <c r="AA663" i="13"/>
  <c r="Q669" i="13"/>
  <c r="R669" i="13" s="1"/>
  <c r="E668" i="13"/>
  <c r="E669" i="13"/>
  <c r="Z664" i="13"/>
  <c r="O664" i="13"/>
  <c r="M664" i="13"/>
  <c r="N664" i="13" s="1"/>
  <c r="AA625" i="13"/>
  <c r="Q631" i="13"/>
  <c r="R631" i="13" s="1"/>
  <c r="O626" i="13"/>
  <c r="M626" i="13"/>
  <c r="N626" i="13" s="1"/>
  <c r="E630" i="13"/>
  <c r="E631" i="13"/>
  <c r="U588" i="13"/>
  <c r="AA587" i="13"/>
  <c r="Q593" i="13"/>
  <c r="R593" i="13" s="1"/>
  <c r="O588" i="13"/>
  <c r="M588" i="13"/>
  <c r="N588" i="13" s="1"/>
  <c r="K588" i="13"/>
  <c r="U550" i="13"/>
  <c r="Q555" i="13"/>
  <c r="R555" i="13" s="1"/>
  <c r="AA549" i="13"/>
  <c r="O550" i="13"/>
  <c r="M550" i="13"/>
  <c r="N550" i="13" s="1"/>
  <c r="E554" i="13"/>
  <c r="E555" i="13"/>
  <c r="P512" i="13"/>
  <c r="Q517" i="13"/>
  <c r="R517" i="13" s="1"/>
  <c r="AA511" i="13"/>
  <c r="E516" i="13"/>
  <c r="E517" i="13"/>
  <c r="U512" i="13"/>
  <c r="J512" i="13"/>
  <c r="H512" i="13"/>
  <c r="I512" i="13" s="1"/>
  <c r="E478" i="13"/>
  <c r="E479" i="13"/>
  <c r="T474" i="13"/>
  <c r="R474" i="13"/>
  <c r="S474" i="13" s="1"/>
  <c r="H474" i="13"/>
  <c r="I474" i="13" s="1"/>
  <c r="J474" i="13"/>
  <c r="AA473" i="13"/>
  <c r="Q479" i="13"/>
  <c r="R479" i="13" s="1"/>
  <c r="P474" i="13"/>
  <c r="Z474" i="13"/>
  <c r="U322" i="13"/>
  <c r="U436" i="13"/>
  <c r="Z436" i="13"/>
  <c r="AA435" i="13"/>
  <c r="Q441" i="13"/>
  <c r="R441" i="13" s="1"/>
  <c r="E440" i="13"/>
  <c r="E441" i="13"/>
  <c r="O436" i="13"/>
  <c r="M436" i="13"/>
  <c r="N436" i="13" s="1"/>
  <c r="AA397" i="13"/>
  <c r="Q403" i="13"/>
  <c r="R403" i="13" s="1"/>
  <c r="O398" i="13"/>
  <c r="M398" i="13"/>
  <c r="N398" i="13" s="1"/>
  <c r="E402" i="13"/>
  <c r="E403" i="13"/>
  <c r="K360" i="13"/>
  <c r="AA359" i="13"/>
  <c r="AB359" i="13" s="1"/>
  <c r="Y360" i="13"/>
  <c r="W360" i="13"/>
  <c r="X360" i="13" s="1"/>
  <c r="Q365" i="13"/>
  <c r="R365" i="13" s="1"/>
  <c r="T360" i="13"/>
  <c r="R360" i="13"/>
  <c r="S360" i="13" s="1"/>
  <c r="M360" i="13"/>
  <c r="N360" i="13" s="1"/>
  <c r="O360" i="13"/>
  <c r="E364" i="13"/>
  <c r="E365" i="13"/>
  <c r="Q327" i="13"/>
  <c r="R327" i="13" s="1"/>
  <c r="AA321" i="13"/>
  <c r="O322" i="13"/>
  <c r="M322" i="13"/>
  <c r="N322" i="13" s="1"/>
  <c r="E326" i="13"/>
  <c r="E327" i="13"/>
  <c r="AA283" i="13"/>
  <c r="Q289" i="13"/>
  <c r="R289" i="13" s="1"/>
  <c r="H284" i="13"/>
  <c r="I284" i="13" s="1"/>
  <c r="J284" i="13"/>
  <c r="E288" i="13"/>
  <c r="E289" i="13"/>
  <c r="Z284" i="13"/>
  <c r="O284" i="13"/>
  <c r="M284" i="13"/>
  <c r="N284" i="13" s="1"/>
  <c r="T284" i="13"/>
  <c r="R284" i="13"/>
  <c r="S284" i="13" s="1"/>
  <c r="H245" i="13"/>
  <c r="I245" i="13" s="1"/>
  <c r="K245" i="13" s="1"/>
  <c r="S54" i="13"/>
  <c r="U54" i="13" s="1"/>
  <c r="Q55" i="13"/>
  <c r="S206" i="13"/>
  <c r="U206" i="13" s="1"/>
  <c r="Q207" i="13"/>
  <c r="AB244" i="13"/>
  <c r="H248" i="13"/>
  <c r="P245" i="13"/>
  <c r="N206" i="13"/>
  <c r="P206" i="13" s="1"/>
  <c r="L207" i="13"/>
  <c r="AB205" i="13"/>
  <c r="E210" i="13"/>
  <c r="P169" i="13"/>
  <c r="I168" i="13"/>
  <c r="K168" i="13" s="1"/>
  <c r="G169" i="13"/>
  <c r="X168" i="13"/>
  <c r="V169" i="13"/>
  <c r="T169" i="13"/>
  <c r="R169" i="13"/>
  <c r="S169" i="13" s="1"/>
  <c r="Z168" i="13"/>
  <c r="AB167" i="13"/>
  <c r="E172" i="13"/>
  <c r="I130" i="13"/>
  <c r="G131" i="13"/>
  <c r="M131" i="13"/>
  <c r="N131" i="13" s="1"/>
  <c r="O131" i="13"/>
  <c r="K130" i="13"/>
  <c r="AB129" i="13"/>
  <c r="E134" i="13"/>
  <c r="R131" i="13"/>
  <c r="S131" i="13" s="1"/>
  <c r="T131" i="13"/>
  <c r="Z131" i="13"/>
  <c r="N92" i="13"/>
  <c r="P92" i="13" s="1"/>
  <c r="L93" i="13"/>
  <c r="V93" i="13"/>
  <c r="X92" i="13"/>
  <c r="Z92" i="13" s="1"/>
  <c r="Q93" i="13"/>
  <c r="S92" i="13"/>
  <c r="U92" i="13" s="1"/>
  <c r="J93" i="13"/>
  <c r="H93" i="13"/>
  <c r="I93" i="13" s="1"/>
  <c r="AB91" i="13"/>
  <c r="E96" i="13"/>
  <c r="Z55" i="13"/>
  <c r="AB53" i="13"/>
  <c r="E58" i="13"/>
  <c r="O55" i="13"/>
  <c r="M55" i="13"/>
  <c r="N55" i="13" s="1"/>
  <c r="G55" i="13"/>
  <c r="I54" i="13"/>
  <c r="K54" i="13" s="1"/>
  <c r="AB15" i="13"/>
  <c r="E20" i="13"/>
  <c r="K17" i="13"/>
  <c r="T17" i="13"/>
  <c r="R17" i="13"/>
  <c r="S17" i="13" s="1"/>
  <c r="L17" i="13"/>
  <c r="N16" i="13"/>
  <c r="P16" i="13" s="1"/>
  <c r="W17" i="13"/>
  <c r="X17" i="13" s="1"/>
  <c r="Y17" i="13"/>
  <c r="Q15" i="11"/>
  <c r="S14" i="11"/>
  <c r="U14" i="11" s="1"/>
  <c r="X14" i="11"/>
  <c r="Z14" i="11" s="1"/>
  <c r="V15" i="11"/>
  <c r="I14" i="11"/>
  <c r="K14" i="11" s="1"/>
  <c r="G15" i="11"/>
  <c r="M15" i="11"/>
  <c r="N15" i="11" s="1"/>
  <c r="O15" i="11"/>
  <c r="AB13" i="11"/>
  <c r="E18" i="11"/>
  <c r="M23" i="18" l="1"/>
  <c r="Q25" i="18" s="1"/>
  <c r="M23" i="17"/>
  <c r="Q25" i="17" s="1"/>
  <c r="K20" i="16"/>
  <c r="M20" i="16" s="1"/>
  <c r="K22" i="16"/>
  <c r="M22" i="16" s="1"/>
  <c r="K21" i="16"/>
  <c r="M21" i="16" s="1"/>
  <c r="M19" i="16"/>
  <c r="U22" i="16"/>
  <c r="AA14" i="11"/>
  <c r="P15" i="11"/>
  <c r="AB816" i="6"/>
  <c r="K819" i="6"/>
  <c r="M819" i="6" s="1"/>
  <c r="K709" i="6"/>
  <c r="M709" i="6" s="1"/>
  <c r="K707" i="6"/>
  <c r="K708" i="6"/>
  <c r="M708" i="6" s="1"/>
  <c r="M706" i="6"/>
  <c r="K629" i="6"/>
  <c r="M629" i="6" s="1"/>
  <c r="AB550" i="6"/>
  <c r="K554" i="6" s="1"/>
  <c r="K553" i="6"/>
  <c r="K477" i="6"/>
  <c r="M477" i="6" s="1"/>
  <c r="AA284" i="6"/>
  <c r="AA245" i="6"/>
  <c r="AB245" i="6" s="1"/>
  <c r="M210" i="6"/>
  <c r="AB664" i="6"/>
  <c r="K667" i="6"/>
  <c r="M667" i="6" s="1"/>
  <c r="AB778" i="6"/>
  <c r="K782" i="6" s="1"/>
  <c r="M782" i="6" s="1"/>
  <c r="K781" i="6"/>
  <c r="M781" i="6" s="1"/>
  <c r="H630" i="6"/>
  <c r="K631" i="6"/>
  <c r="H631" i="6"/>
  <c r="H632" i="6"/>
  <c r="K632" i="6"/>
  <c r="K633" i="6"/>
  <c r="M633" i="6" s="1"/>
  <c r="H211" i="6"/>
  <c r="K212" i="6"/>
  <c r="K213" i="6"/>
  <c r="K214" i="6"/>
  <c r="M214" i="6" s="1"/>
  <c r="H212" i="6"/>
  <c r="M212" i="6" s="1"/>
  <c r="H213" i="6"/>
  <c r="H744" i="6"/>
  <c r="H746" i="6"/>
  <c r="H745" i="6"/>
  <c r="Q784" i="6"/>
  <c r="R784" i="6" s="1"/>
  <c r="R785" i="6" s="1"/>
  <c r="AB588" i="6"/>
  <c r="K592" i="6"/>
  <c r="K591" i="6"/>
  <c r="M591" i="6" s="1"/>
  <c r="AA169" i="6"/>
  <c r="Q175" i="6"/>
  <c r="R175" i="6" s="1"/>
  <c r="R176" i="6" s="1"/>
  <c r="H554" i="6"/>
  <c r="H556" i="6"/>
  <c r="K557" i="6"/>
  <c r="M557" i="6" s="1"/>
  <c r="H555" i="6"/>
  <c r="K248" i="6"/>
  <c r="M248" i="6" s="1"/>
  <c r="Q670" i="6"/>
  <c r="R670" i="6" s="1"/>
  <c r="R671" i="6" s="1"/>
  <c r="M363" i="6"/>
  <c r="H288" i="6"/>
  <c r="H290" i="6"/>
  <c r="H289" i="6"/>
  <c r="AA17" i="6"/>
  <c r="Q23" i="6"/>
  <c r="R23" i="6" s="1"/>
  <c r="R24" i="6" s="1"/>
  <c r="H326" i="6"/>
  <c r="H327" i="6"/>
  <c r="H328" i="6"/>
  <c r="Q898" i="6"/>
  <c r="R898" i="6" s="1"/>
  <c r="R899" i="6" s="1"/>
  <c r="AA892" i="6"/>
  <c r="H516" i="6"/>
  <c r="H518" i="6"/>
  <c r="H517" i="6"/>
  <c r="K211" i="6"/>
  <c r="M592" i="6"/>
  <c r="K478" i="6"/>
  <c r="K859" i="6"/>
  <c r="M859" i="6" s="1"/>
  <c r="K861" i="6"/>
  <c r="M861" i="6" s="1"/>
  <c r="K860" i="6"/>
  <c r="M860" i="6" s="1"/>
  <c r="K630" i="6"/>
  <c r="AA93" i="6"/>
  <c r="Q99" i="6"/>
  <c r="R99" i="6" s="1"/>
  <c r="R100" i="6" s="1"/>
  <c r="M553" i="6"/>
  <c r="Q746" i="6"/>
  <c r="R746" i="6" s="1"/>
  <c r="R747" i="6" s="1"/>
  <c r="AA740" i="6"/>
  <c r="AA131" i="6"/>
  <c r="Q137" i="6"/>
  <c r="R137" i="6" s="1"/>
  <c r="R138" i="6" s="1"/>
  <c r="M707" i="6"/>
  <c r="AB398" i="6"/>
  <c r="K401" i="6"/>
  <c r="M401" i="6" s="1"/>
  <c r="Q328" i="6"/>
  <c r="R328" i="6" s="1"/>
  <c r="R329" i="6" s="1"/>
  <c r="AA322" i="6"/>
  <c r="K479" i="6"/>
  <c r="H478" i="6"/>
  <c r="K480" i="6"/>
  <c r="K481" i="6"/>
  <c r="M481" i="6" s="1"/>
  <c r="H480" i="6"/>
  <c r="H479" i="6"/>
  <c r="H896" i="6"/>
  <c r="H898" i="6"/>
  <c r="H897" i="6"/>
  <c r="Q442" i="6"/>
  <c r="R442" i="6" s="1"/>
  <c r="R443" i="6" s="1"/>
  <c r="AA436" i="6"/>
  <c r="Q61" i="6"/>
  <c r="R61" i="6" s="1"/>
  <c r="R62" i="6" s="1"/>
  <c r="AA55" i="6"/>
  <c r="K249" i="6"/>
  <c r="H440" i="6"/>
  <c r="H441" i="6"/>
  <c r="H442" i="6"/>
  <c r="H135" i="6"/>
  <c r="H136" i="6"/>
  <c r="H137" i="6"/>
  <c r="AA512" i="6"/>
  <c r="Q518" i="6"/>
  <c r="R518" i="6" s="1"/>
  <c r="R519" i="6" s="1"/>
  <c r="H21" i="6"/>
  <c r="H23" i="6"/>
  <c r="H22" i="6"/>
  <c r="H59" i="6"/>
  <c r="H61" i="6"/>
  <c r="H60" i="6"/>
  <c r="H249" i="6"/>
  <c r="K250" i="6"/>
  <c r="H250" i="6"/>
  <c r="H251" i="6"/>
  <c r="K251" i="6"/>
  <c r="K252" i="6"/>
  <c r="M252" i="6" s="1"/>
  <c r="H364" i="6"/>
  <c r="M364" i="6" s="1"/>
  <c r="K365" i="6"/>
  <c r="H366" i="6"/>
  <c r="M366" i="6" s="1"/>
  <c r="K367" i="6"/>
  <c r="M367" i="6" s="1"/>
  <c r="K366" i="6"/>
  <c r="H365" i="6"/>
  <c r="M365" i="6" s="1"/>
  <c r="AA588" i="5"/>
  <c r="AB588" i="5" s="1"/>
  <c r="Q594" i="5"/>
  <c r="R594" i="5" s="1"/>
  <c r="R595" i="5" s="1"/>
  <c r="AA550" i="5"/>
  <c r="AA436" i="5"/>
  <c r="K439" i="5" s="1"/>
  <c r="M439" i="5" s="1"/>
  <c r="K405" i="5"/>
  <c r="M405" i="5" s="1"/>
  <c r="K402" i="5"/>
  <c r="M402" i="5" s="1"/>
  <c r="M406" i="5" s="1"/>
  <c r="Q419" i="5" s="1"/>
  <c r="K401" i="5"/>
  <c r="M401" i="5" s="1"/>
  <c r="AB360" i="5"/>
  <c r="K364" i="5" s="1"/>
  <c r="K363" i="5"/>
  <c r="M363" i="5" s="1"/>
  <c r="AB322" i="5"/>
  <c r="K329" i="5" s="1"/>
  <c r="M329" i="5" s="1"/>
  <c r="K326" i="5"/>
  <c r="K325" i="5"/>
  <c r="AA284" i="5"/>
  <c r="AB284" i="5" s="1"/>
  <c r="K58" i="5"/>
  <c r="K59" i="5"/>
  <c r="AB664" i="5"/>
  <c r="K668" i="5" s="1"/>
  <c r="K667" i="5"/>
  <c r="AB17" i="5"/>
  <c r="K21" i="5" s="1"/>
  <c r="K20" i="5"/>
  <c r="AB740" i="5"/>
  <c r="K744" i="5" s="1"/>
  <c r="K743" i="5"/>
  <c r="AB550" i="5"/>
  <c r="K553" i="5"/>
  <c r="K554" i="5"/>
  <c r="K591" i="5"/>
  <c r="M591" i="5" s="1"/>
  <c r="AB93" i="5"/>
  <c r="K97" i="5" s="1"/>
  <c r="K96" i="5"/>
  <c r="AB436" i="5"/>
  <c r="K440" i="5" s="1"/>
  <c r="M553" i="5"/>
  <c r="H858" i="5"/>
  <c r="H860" i="5"/>
  <c r="H859" i="5"/>
  <c r="M743" i="5"/>
  <c r="AA854" i="5"/>
  <c r="Q860" i="5"/>
  <c r="R860" i="5" s="1"/>
  <c r="R861" i="5" s="1"/>
  <c r="M20" i="5"/>
  <c r="K250" i="5"/>
  <c r="H249" i="5"/>
  <c r="H251" i="5"/>
  <c r="K252" i="5"/>
  <c r="M252" i="5" s="1"/>
  <c r="K251" i="5"/>
  <c r="H250" i="5"/>
  <c r="H668" i="5"/>
  <c r="H670" i="5"/>
  <c r="K670" i="5"/>
  <c r="H669" i="5"/>
  <c r="Q670" i="5"/>
  <c r="R670" i="5" s="1"/>
  <c r="R671" i="5" s="1"/>
  <c r="M403" i="5"/>
  <c r="M480" i="5"/>
  <c r="H516" i="5"/>
  <c r="H517" i="5"/>
  <c r="H518" i="5"/>
  <c r="AB702" i="5"/>
  <c r="K706" i="5"/>
  <c r="K705" i="5"/>
  <c r="M705" i="5" s="1"/>
  <c r="H97" i="5"/>
  <c r="K98" i="5"/>
  <c r="H99" i="5"/>
  <c r="H98" i="5"/>
  <c r="M98" i="5" s="1"/>
  <c r="M478" i="5"/>
  <c r="K249" i="5"/>
  <c r="Q746" i="5"/>
  <c r="R746" i="5" s="1"/>
  <c r="R747" i="5" s="1"/>
  <c r="AB626" i="5"/>
  <c r="K630" i="5"/>
  <c r="K629" i="5"/>
  <c r="M629" i="5" s="1"/>
  <c r="H173" i="5"/>
  <c r="H174" i="5"/>
  <c r="H175" i="5"/>
  <c r="K211" i="5"/>
  <c r="M482" i="5"/>
  <c r="Q495" i="5" s="1"/>
  <c r="K781" i="5"/>
  <c r="M781" i="5" s="1"/>
  <c r="H440" i="5"/>
  <c r="H442" i="5"/>
  <c r="H441" i="5"/>
  <c r="H326" i="5"/>
  <c r="H327" i="5"/>
  <c r="H328" i="5"/>
  <c r="K212" i="5"/>
  <c r="H211" i="5"/>
  <c r="H213" i="5"/>
  <c r="M213" i="5" s="1"/>
  <c r="K213" i="5"/>
  <c r="H212" i="5"/>
  <c r="M212" i="5" s="1"/>
  <c r="K214" i="5"/>
  <c r="M214" i="5" s="1"/>
  <c r="H21" i="5"/>
  <c r="K22" i="5"/>
  <c r="H22" i="5"/>
  <c r="K23" i="5"/>
  <c r="H23" i="5"/>
  <c r="K24" i="5"/>
  <c r="M24" i="5" s="1"/>
  <c r="M630" i="5"/>
  <c r="K782" i="5"/>
  <c r="H364" i="5"/>
  <c r="K365" i="5"/>
  <c r="H365" i="5"/>
  <c r="K367" i="5"/>
  <c r="M367" i="5" s="1"/>
  <c r="H366" i="5"/>
  <c r="K366" i="5"/>
  <c r="AA131" i="5"/>
  <c r="H820" i="5"/>
  <c r="H821" i="5"/>
  <c r="H822" i="5"/>
  <c r="K555" i="5"/>
  <c r="H554" i="5"/>
  <c r="M554" i="5" s="1"/>
  <c r="K556" i="5"/>
  <c r="K557" i="5"/>
  <c r="M557" i="5" s="1"/>
  <c r="H555" i="5"/>
  <c r="M555" i="5" s="1"/>
  <c r="H556" i="5"/>
  <c r="M706" i="5"/>
  <c r="H288" i="5"/>
  <c r="H290" i="5"/>
  <c r="H289" i="5"/>
  <c r="H592" i="5"/>
  <c r="H593" i="5"/>
  <c r="H594" i="5"/>
  <c r="M58" i="5"/>
  <c r="H896" i="5"/>
  <c r="H898" i="5"/>
  <c r="H897" i="5"/>
  <c r="Q822" i="5"/>
  <c r="R822" i="5" s="1"/>
  <c r="R823" i="5" s="1"/>
  <c r="AA816" i="5"/>
  <c r="M404" i="5"/>
  <c r="K210" i="5"/>
  <c r="K783" i="5"/>
  <c r="H782" i="5"/>
  <c r="K784" i="5"/>
  <c r="H783" i="5"/>
  <c r="K785" i="5"/>
  <c r="M785" i="5" s="1"/>
  <c r="H784" i="5"/>
  <c r="M667" i="5"/>
  <c r="H135" i="5"/>
  <c r="H137" i="5"/>
  <c r="H136" i="5"/>
  <c r="K60" i="5"/>
  <c r="M59" i="5"/>
  <c r="K61" i="5"/>
  <c r="K62" i="5"/>
  <c r="M62" i="5" s="1"/>
  <c r="M60" i="5"/>
  <c r="H61" i="5"/>
  <c r="H744" i="5"/>
  <c r="H746" i="5"/>
  <c r="K747" i="5"/>
  <c r="M747" i="5" s="1"/>
  <c r="H745" i="5"/>
  <c r="AA512" i="5"/>
  <c r="Q518" i="5"/>
  <c r="R518" i="5" s="1"/>
  <c r="R519" i="5" s="1"/>
  <c r="Q898" i="5"/>
  <c r="R898" i="5" s="1"/>
  <c r="R899" i="5" s="1"/>
  <c r="AA892" i="5"/>
  <c r="M325" i="5"/>
  <c r="M96" i="5"/>
  <c r="AA169" i="5"/>
  <c r="Q175" i="5"/>
  <c r="R175" i="5" s="1"/>
  <c r="R176" i="5" s="1"/>
  <c r="M210" i="5"/>
  <c r="K248" i="5"/>
  <c r="M248" i="5" s="1"/>
  <c r="U854" i="12"/>
  <c r="K854" i="12"/>
  <c r="Q860" i="12" s="1"/>
  <c r="R860" i="12" s="1"/>
  <c r="R861" i="12" s="1"/>
  <c r="P854" i="12"/>
  <c r="Q784" i="12"/>
  <c r="R784" i="12" s="1"/>
  <c r="R785" i="12" s="1"/>
  <c r="K740" i="12"/>
  <c r="U702" i="12"/>
  <c r="U588" i="12"/>
  <c r="K245" i="12"/>
  <c r="P169" i="12"/>
  <c r="U169" i="12"/>
  <c r="Z169" i="12"/>
  <c r="K169" i="12"/>
  <c r="AA169" i="12" s="1"/>
  <c r="AB169" i="12" s="1"/>
  <c r="K136" i="12"/>
  <c r="H136" i="12"/>
  <c r="H137" i="12"/>
  <c r="H135" i="12"/>
  <c r="M135" i="12" s="1"/>
  <c r="K138" i="12"/>
  <c r="M138" i="12" s="1"/>
  <c r="K137" i="12"/>
  <c r="AB92" i="12"/>
  <c r="H96" i="12"/>
  <c r="AB168" i="12"/>
  <c r="H172" i="12"/>
  <c r="AB397" i="12"/>
  <c r="H401" i="12"/>
  <c r="AB701" i="12"/>
  <c r="H705" i="12"/>
  <c r="AB54" i="12"/>
  <c r="H58" i="12"/>
  <c r="Q175" i="12"/>
  <c r="R175" i="12" s="1"/>
  <c r="R176" i="12" s="1"/>
  <c r="AA778" i="12"/>
  <c r="AA207" i="12"/>
  <c r="AB207" i="12" s="1"/>
  <c r="Q213" i="12"/>
  <c r="R213" i="12" s="1"/>
  <c r="R214" i="12" s="1"/>
  <c r="K816" i="12"/>
  <c r="K554" i="12"/>
  <c r="U740" i="12"/>
  <c r="K55" i="12"/>
  <c r="U284" i="12"/>
  <c r="Q290" i="12" s="1"/>
  <c r="R290" i="12" s="1"/>
  <c r="R291" i="12" s="1"/>
  <c r="Z664" i="12"/>
  <c r="AB511" i="12"/>
  <c r="H515" i="12"/>
  <c r="K326" i="12"/>
  <c r="AA854" i="12"/>
  <c r="AB854" i="12" s="1"/>
  <c r="U17" i="12"/>
  <c r="AA17" i="12" s="1"/>
  <c r="AB435" i="12"/>
  <c r="H439" i="12"/>
  <c r="Q404" i="12"/>
  <c r="R404" i="12" s="1"/>
  <c r="R405" i="12" s="1"/>
  <c r="AA398" i="12"/>
  <c r="AB398" i="12" s="1"/>
  <c r="AB359" i="12"/>
  <c r="H363" i="12"/>
  <c r="K325" i="12"/>
  <c r="M325" i="12" s="1"/>
  <c r="AB891" i="12"/>
  <c r="H895" i="12"/>
  <c r="K134" i="12"/>
  <c r="M134" i="12" s="1"/>
  <c r="AA702" i="12"/>
  <c r="AB702" i="12" s="1"/>
  <c r="Z740" i="12"/>
  <c r="K512" i="12"/>
  <c r="P740" i="12"/>
  <c r="Z816" i="12"/>
  <c r="AA626" i="12"/>
  <c r="Z93" i="12"/>
  <c r="P588" i="12"/>
  <c r="K553" i="12"/>
  <c r="M553" i="12" s="1"/>
  <c r="U816" i="12"/>
  <c r="P474" i="12"/>
  <c r="Q480" i="12" s="1"/>
  <c r="R480" i="12" s="1"/>
  <c r="R481" i="12" s="1"/>
  <c r="Z702" i="12"/>
  <c r="Q708" i="12" s="1"/>
  <c r="R708" i="12" s="1"/>
  <c r="R709" i="12" s="1"/>
  <c r="AB853" i="12"/>
  <c r="K857" i="12"/>
  <c r="H857" i="12"/>
  <c r="U93" i="12"/>
  <c r="H782" i="12"/>
  <c r="H783" i="12"/>
  <c r="H784" i="12"/>
  <c r="H326" i="12"/>
  <c r="M326" i="12" s="1"/>
  <c r="K327" i="12"/>
  <c r="K328" i="12"/>
  <c r="H328" i="12"/>
  <c r="K329" i="12"/>
  <c r="M329" i="12" s="1"/>
  <c r="H327" i="12"/>
  <c r="M327" i="12" s="1"/>
  <c r="K360" i="12"/>
  <c r="AB473" i="12"/>
  <c r="H477" i="12"/>
  <c r="AB244" i="12"/>
  <c r="K248" i="12"/>
  <c r="H248" i="12"/>
  <c r="AB587" i="12"/>
  <c r="H591" i="12"/>
  <c r="AB739" i="12"/>
  <c r="H743" i="12"/>
  <c r="P664" i="12"/>
  <c r="AA892" i="12"/>
  <c r="AB892" i="12" s="1"/>
  <c r="Q898" i="12"/>
  <c r="R898" i="12" s="1"/>
  <c r="R899" i="12" s="1"/>
  <c r="K135" i="12"/>
  <c r="K588" i="12"/>
  <c r="U664" i="12"/>
  <c r="P512" i="12"/>
  <c r="AB815" i="12"/>
  <c r="H819" i="12"/>
  <c r="H630" i="12"/>
  <c r="H632" i="12"/>
  <c r="H631" i="12"/>
  <c r="K555" i="12"/>
  <c r="H554" i="12"/>
  <c r="M554" i="12" s="1"/>
  <c r="K556" i="12"/>
  <c r="K557" i="12"/>
  <c r="M557" i="12" s="1"/>
  <c r="H555" i="12"/>
  <c r="M555" i="12" s="1"/>
  <c r="H556" i="12"/>
  <c r="Q251" i="12"/>
  <c r="R251" i="12" s="1"/>
  <c r="R252" i="12" s="1"/>
  <c r="AA245" i="12"/>
  <c r="AB245" i="12" s="1"/>
  <c r="K664" i="12"/>
  <c r="Z436" i="12"/>
  <c r="AA436" i="12" s="1"/>
  <c r="AB16" i="12"/>
  <c r="H20" i="12"/>
  <c r="AB206" i="12"/>
  <c r="H210" i="12"/>
  <c r="K210" i="12"/>
  <c r="AB663" i="12"/>
  <c r="H667" i="12"/>
  <c r="AB283" i="12"/>
  <c r="H287" i="12"/>
  <c r="P892" i="13"/>
  <c r="AB891" i="13"/>
  <c r="H895" i="13"/>
  <c r="AB853" i="13"/>
  <c r="H857" i="13"/>
  <c r="K854" i="13"/>
  <c r="K816" i="13"/>
  <c r="AB815" i="13"/>
  <c r="H819" i="13"/>
  <c r="P778" i="13"/>
  <c r="AB777" i="13"/>
  <c r="H781" i="13"/>
  <c r="K778" i="13"/>
  <c r="Z778" i="13"/>
  <c r="K740" i="13"/>
  <c r="AB739" i="13"/>
  <c r="H743" i="13"/>
  <c r="AB701" i="13"/>
  <c r="H705" i="13"/>
  <c r="P702" i="13"/>
  <c r="P664" i="13"/>
  <c r="AA664" i="13" s="1"/>
  <c r="AB664" i="13" s="1"/>
  <c r="AB663" i="13"/>
  <c r="K668" i="13" s="1"/>
  <c r="H667" i="13"/>
  <c r="P626" i="13"/>
  <c r="AA626" i="13" s="1"/>
  <c r="AB625" i="13"/>
  <c r="H629" i="13"/>
  <c r="P588" i="13"/>
  <c r="Q594" i="13" s="1"/>
  <c r="R594" i="13" s="1"/>
  <c r="R595" i="13" s="1"/>
  <c r="AA588" i="13"/>
  <c r="AB588" i="13" s="1"/>
  <c r="AB587" i="13"/>
  <c r="H591" i="13"/>
  <c r="P550" i="13"/>
  <c r="AB549" i="13"/>
  <c r="H553" i="13"/>
  <c r="K512" i="13"/>
  <c r="AB511" i="13"/>
  <c r="H515" i="13"/>
  <c r="K474" i="13"/>
  <c r="U474" i="13"/>
  <c r="AB473" i="13"/>
  <c r="H477" i="13"/>
  <c r="P436" i="13"/>
  <c r="AB435" i="13"/>
  <c r="H439" i="13"/>
  <c r="P398" i="13"/>
  <c r="AA398" i="13" s="1"/>
  <c r="AB398" i="13" s="1"/>
  <c r="AB397" i="13"/>
  <c r="H401" i="13"/>
  <c r="Z360" i="13"/>
  <c r="H363" i="13"/>
  <c r="H364" i="13"/>
  <c r="H366" i="13"/>
  <c r="H365" i="13"/>
  <c r="U360" i="13"/>
  <c r="P360" i="13"/>
  <c r="AB321" i="13"/>
  <c r="H325" i="13"/>
  <c r="P322" i="13"/>
  <c r="K284" i="13"/>
  <c r="P284" i="13"/>
  <c r="U284" i="13"/>
  <c r="AB283" i="13"/>
  <c r="H287" i="13"/>
  <c r="Z17" i="13"/>
  <c r="P131" i="13"/>
  <c r="R207" i="13"/>
  <c r="S207" i="13" s="1"/>
  <c r="T207" i="13"/>
  <c r="U207" i="13" s="1"/>
  <c r="R55" i="13"/>
  <c r="S55" i="13" s="1"/>
  <c r="T55" i="13"/>
  <c r="Q251" i="13"/>
  <c r="R251" i="13" s="1"/>
  <c r="R252" i="13" s="1"/>
  <c r="AA245" i="13"/>
  <c r="H249" i="13"/>
  <c r="H250" i="13"/>
  <c r="H251" i="13"/>
  <c r="Q212" i="13"/>
  <c r="R212" i="13" s="1"/>
  <c r="AA206" i="13"/>
  <c r="E211" i="13"/>
  <c r="E212" i="13"/>
  <c r="O207" i="13"/>
  <c r="M207" i="13"/>
  <c r="N207" i="13" s="1"/>
  <c r="AA168" i="13"/>
  <c r="Q174" i="13"/>
  <c r="R174" i="13" s="1"/>
  <c r="E173" i="13"/>
  <c r="E174" i="13"/>
  <c r="Y169" i="13"/>
  <c r="W169" i="13"/>
  <c r="X169" i="13" s="1"/>
  <c r="U169" i="13"/>
  <c r="H169" i="13"/>
  <c r="I169" i="13" s="1"/>
  <c r="J169" i="13"/>
  <c r="U131" i="13"/>
  <c r="E135" i="13"/>
  <c r="E136" i="13"/>
  <c r="J131" i="13"/>
  <c r="H131" i="13"/>
  <c r="I131" i="13" s="1"/>
  <c r="Q136" i="13"/>
  <c r="R136" i="13" s="1"/>
  <c r="AA130" i="13"/>
  <c r="H134" i="13" s="1"/>
  <c r="Q98" i="13"/>
  <c r="R98" i="13" s="1"/>
  <c r="AA92" i="13"/>
  <c r="E97" i="13"/>
  <c r="E98" i="13"/>
  <c r="K93" i="13"/>
  <c r="R93" i="13"/>
  <c r="S93" i="13" s="1"/>
  <c r="T93" i="13"/>
  <c r="M93" i="13"/>
  <c r="N93" i="13" s="1"/>
  <c r="O93" i="13"/>
  <c r="Y93" i="13"/>
  <c r="W93" i="13"/>
  <c r="X93" i="13" s="1"/>
  <c r="AA54" i="13"/>
  <c r="Q60" i="13"/>
  <c r="R60" i="13" s="1"/>
  <c r="P55" i="13"/>
  <c r="J55" i="13"/>
  <c r="H55" i="13"/>
  <c r="I55" i="13" s="1"/>
  <c r="E59" i="13"/>
  <c r="E60" i="13"/>
  <c r="AA16" i="13"/>
  <c r="Q22" i="13"/>
  <c r="R22" i="13" s="1"/>
  <c r="U17" i="13"/>
  <c r="E21" i="13"/>
  <c r="E22" i="13"/>
  <c r="O17" i="13"/>
  <c r="M17" i="13"/>
  <c r="N17" i="13" s="1"/>
  <c r="Y15" i="11"/>
  <c r="W15" i="11"/>
  <c r="X15" i="11" s="1"/>
  <c r="E19" i="11"/>
  <c r="E20" i="11"/>
  <c r="H15" i="11"/>
  <c r="I15" i="11" s="1"/>
  <c r="J15" i="11"/>
  <c r="T15" i="11"/>
  <c r="R15" i="11"/>
  <c r="S15" i="11" s="1"/>
  <c r="R20" i="11" l="1"/>
  <c r="M23" i="16"/>
  <c r="Q25" i="16" s="1"/>
  <c r="K15" i="11"/>
  <c r="U15" i="11"/>
  <c r="Z15" i="11"/>
  <c r="M862" i="6"/>
  <c r="Q875" i="6" s="1"/>
  <c r="K821" i="6"/>
  <c r="M821" i="6" s="1"/>
  <c r="K823" i="6"/>
  <c r="M823" i="6" s="1"/>
  <c r="K822" i="6"/>
  <c r="M822" i="6" s="1"/>
  <c r="K820" i="6"/>
  <c r="M820" i="6" s="1"/>
  <c r="M824" i="6" s="1"/>
  <c r="Q837" i="6" s="1"/>
  <c r="M710" i="6"/>
  <c r="Q723" i="6" s="1"/>
  <c r="M632" i="6"/>
  <c r="M555" i="6"/>
  <c r="K555" i="6"/>
  <c r="M554" i="6"/>
  <c r="M558" i="6" s="1"/>
  <c r="Q571" i="6" s="1"/>
  <c r="K556" i="6"/>
  <c r="M556" i="6" s="1"/>
  <c r="M479" i="6"/>
  <c r="M478" i="6"/>
  <c r="AB284" i="6"/>
  <c r="K287" i="6"/>
  <c r="M287" i="6" s="1"/>
  <c r="K288" i="6"/>
  <c r="M288" i="6" s="1"/>
  <c r="M251" i="6"/>
  <c r="M249" i="6"/>
  <c r="M253" i="6" s="1"/>
  <c r="Q266" i="6" s="1"/>
  <c r="AB436" i="6"/>
  <c r="K439" i="6"/>
  <c r="M439" i="6" s="1"/>
  <c r="AB322" i="6"/>
  <c r="K326" i="6" s="1"/>
  <c r="M326" i="6" s="1"/>
  <c r="K325" i="6"/>
  <c r="M325" i="6" s="1"/>
  <c r="K403" i="6"/>
  <c r="M403" i="6" s="1"/>
  <c r="K405" i="6"/>
  <c r="M405" i="6" s="1"/>
  <c r="K404" i="6"/>
  <c r="M404" i="6" s="1"/>
  <c r="AB131" i="6"/>
  <c r="K135" i="6" s="1"/>
  <c r="M135" i="6" s="1"/>
  <c r="K134" i="6"/>
  <c r="M134" i="6" s="1"/>
  <c r="AB892" i="6"/>
  <c r="K895" i="6"/>
  <c r="M895" i="6" s="1"/>
  <c r="M368" i="6"/>
  <c r="Q381" i="6" s="1"/>
  <c r="AB169" i="6"/>
  <c r="K172" i="6"/>
  <c r="M172" i="6" s="1"/>
  <c r="K173" i="6"/>
  <c r="M173" i="6" s="1"/>
  <c r="K783" i="6"/>
  <c r="M783" i="6" s="1"/>
  <c r="K785" i="6"/>
  <c r="M785" i="6" s="1"/>
  <c r="K784" i="6"/>
  <c r="M784" i="6" s="1"/>
  <c r="M786" i="6" s="1"/>
  <c r="Q799" i="6" s="1"/>
  <c r="K671" i="6"/>
  <c r="M671" i="6" s="1"/>
  <c r="K670" i="6"/>
  <c r="M670" i="6" s="1"/>
  <c r="K669" i="6"/>
  <c r="M669" i="6" s="1"/>
  <c r="AB17" i="6"/>
  <c r="K20" i="6"/>
  <c r="M20" i="6" s="1"/>
  <c r="K594" i="6"/>
  <c r="M594" i="6" s="1"/>
  <c r="M596" i="6" s="1"/>
  <c r="Q609" i="6" s="1"/>
  <c r="K593" i="6"/>
  <c r="M593" i="6" s="1"/>
  <c r="K595" i="6"/>
  <c r="M595" i="6" s="1"/>
  <c r="M213" i="6"/>
  <c r="M630" i="6"/>
  <c r="M250" i="6"/>
  <c r="AB512" i="6"/>
  <c r="K516" i="6"/>
  <c r="M516" i="6" s="1"/>
  <c r="K515" i="6"/>
  <c r="M515" i="6" s="1"/>
  <c r="AB55" i="6"/>
  <c r="K59" i="6"/>
  <c r="M59" i="6" s="1"/>
  <c r="K58" i="6"/>
  <c r="M58" i="6" s="1"/>
  <c r="M480" i="6"/>
  <c r="K402" i="6"/>
  <c r="M402" i="6" s="1"/>
  <c r="M406" i="6" s="1"/>
  <c r="Q419" i="6" s="1"/>
  <c r="AB740" i="6"/>
  <c r="K743" i="6"/>
  <c r="M743" i="6" s="1"/>
  <c r="AB93" i="6"/>
  <c r="K97" i="6" s="1"/>
  <c r="M97" i="6" s="1"/>
  <c r="K96" i="6"/>
  <c r="M96" i="6" s="1"/>
  <c r="M211" i="6"/>
  <c r="M215" i="6" s="1"/>
  <c r="Q228" i="6" s="1"/>
  <c r="M631" i="6"/>
  <c r="K668" i="6"/>
  <c r="M668" i="6" s="1"/>
  <c r="M782" i="5"/>
  <c r="K746" i="5"/>
  <c r="M744" i="5"/>
  <c r="K745" i="5"/>
  <c r="M745" i="5" s="1"/>
  <c r="M748" i="5" s="1"/>
  <c r="Q761" i="5" s="1"/>
  <c r="K671" i="5"/>
  <c r="M671" i="5" s="1"/>
  <c r="K669" i="5"/>
  <c r="M668" i="5"/>
  <c r="K592" i="5"/>
  <c r="M592" i="5" s="1"/>
  <c r="M596" i="5" s="1"/>
  <c r="Q609" i="5" s="1"/>
  <c r="K594" i="5"/>
  <c r="K593" i="5"/>
  <c r="K595" i="5"/>
  <c r="M595" i="5" s="1"/>
  <c r="M594" i="5"/>
  <c r="K442" i="5"/>
  <c r="M442" i="5" s="1"/>
  <c r="K443" i="5"/>
  <c r="M443" i="5" s="1"/>
  <c r="K441" i="5"/>
  <c r="M441" i="5" s="1"/>
  <c r="M364" i="5"/>
  <c r="K328" i="5"/>
  <c r="K327" i="5"/>
  <c r="M327" i="5" s="1"/>
  <c r="M326" i="5"/>
  <c r="K290" i="5"/>
  <c r="K289" i="5"/>
  <c r="M289" i="5" s="1"/>
  <c r="K291" i="5"/>
  <c r="M291" i="5" s="1"/>
  <c r="K288" i="5"/>
  <c r="M288" i="5" s="1"/>
  <c r="M290" i="5"/>
  <c r="K287" i="5"/>
  <c r="M287" i="5" s="1"/>
  <c r="M251" i="5"/>
  <c r="M250" i="5"/>
  <c r="K99" i="5"/>
  <c r="M97" i="5"/>
  <c r="M101" i="5"/>
  <c r="Q114" i="5" s="1"/>
  <c r="K100" i="5"/>
  <c r="M100" i="5" s="1"/>
  <c r="M99" i="5"/>
  <c r="M61" i="5"/>
  <c r="M23" i="5"/>
  <c r="M22" i="5"/>
  <c r="M25" i="5" s="1"/>
  <c r="Q38" i="5" s="1"/>
  <c r="M21" i="5"/>
  <c r="M440" i="5"/>
  <c r="M444" i="5" s="1"/>
  <c r="Q457" i="5" s="1"/>
  <c r="AB512" i="5"/>
  <c r="K516" i="5" s="1"/>
  <c r="M516" i="5" s="1"/>
  <c r="K515" i="5"/>
  <c r="M515" i="5" s="1"/>
  <c r="M746" i="5"/>
  <c r="M783" i="5"/>
  <c r="M593" i="5"/>
  <c r="M556" i="5"/>
  <c r="M558" i="5" s="1"/>
  <c r="Q571" i="5" s="1"/>
  <c r="AB131" i="5"/>
  <c r="K135" i="5" s="1"/>
  <c r="M135" i="5" s="1"/>
  <c r="K134" i="5"/>
  <c r="M134" i="5" s="1"/>
  <c r="M365" i="5"/>
  <c r="M211" i="5"/>
  <c r="M215" i="5" s="1"/>
  <c r="Q228" i="5" s="1"/>
  <c r="M328" i="5"/>
  <c r="K632" i="5"/>
  <c r="M632" i="5" s="1"/>
  <c r="M634" i="5" s="1"/>
  <c r="Q647" i="5" s="1"/>
  <c r="K631" i="5"/>
  <c r="M631" i="5" s="1"/>
  <c r="K633" i="5"/>
  <c r="M633" i="5" s="1"/>
  <c r="M670" i="5"/>
  <c r="M249" i="5"/>
  <c r="M253" i="5" s="1"/>
  <c r="Q266" i="5" s="1"/>
  <c r="AB854" i="5"/>
  <c r="K858" i="5" s="1"/>
  <c r="M858" i="5" s="1"/>
  <c r="K857" i="5"/>
  <c r="M857" i="5" s="1"/>
  <c r="AB892" i="5"/>
  <c r="K896" i="5" s="1"/>
  <c r="M896" i="5" s="1"/>
  <c r="K895" i="5"/>
  <c r="M895" i="5" s="1"/>
  <c r="AB169" i="5"/>
  <c r="K173" i="5" s="1"/>
  <c r="M173" i="5" s="1"/>
  <c r="K172" i="5"/>
  <c r="M172" i="5" s="1"/>
  <c r="M784" i="5"/>
  <c r="AB816" i="5"/>
  <c r="K820" i="5" s="1"/>
  <c r="M820" i="5" s="1"/>
  <c r="K819" i="5"/>
  <c r="M819" i="5" s="1"/>
  <c r="M63" i="5"/>
  <c r="Q76" i="5" s="1"/>
  <c r="M366" i="5"/>
  <c r="K707" i="5"/>
  <c r="M707" i="5" s="1"/>
  <c r="M710" i="5" s="1"/>
  <c r="Q723" i="5" s="1"/>
  <c r="K709" i="5"/>
  <c r="M709" i="5" s="1"/>
  <c r="K708" i="5"/>
  <c r="M708" i="5" s="1"/>
  <c r="M669" i="5"/>
  <c r="K895" i="12"/>
  <c r="AA740" i="12"/>
  <c r="AB436" i="12"/>
  <c r="K440" i="12" s="1"/>
  <c r="K439" i="12"/>
  <c r="AB740" i="12"/>
  <c r="K744" i="12" s="1"/>
  <c r="K743" i="12"/>
  <c r="AB17" i="12"/>
  <c r="K21" i="12" s="1"/>
  <c r="K20" i="12"/>
  <c r="H820" i="12"/>
  <c r="H821" i="12"/>
  <c r="H822" i="12"/>
  <c r="Q518" i="12"/>
  <c r="R518" i="12" s="1"/>
  <c r="R519" i="12" s="1"/>
  <c r="AA512" i="12"/>
  <c r="H59" i="12"/>
  <c r="H60" i="12"/>
  <c r="H61" i="12"/>
  <c r="K707" i="12"/>
  <c r="H706" i="12"/>
  <c r="K709" i="12"/>
  <c r="M709" i="12" s="1"/>
  <c r="K708" i="12"/>
  <c r="H707" i="12"/>
  <c r="M707" i="12" s="1"/>
  <c r="H708" i="12"/>
  <c r="M708" i="12" s="1"/>
  <c r="H402" i="12"/>
  <c r="K403" i="12"/>
  <c r="K404" i="12"/>
  <c r="H404" i="12"/>
  <c r="K405" i="12"/>
  <c r="M405" i="12" s="1"/>
  <c r="H403" i="12"/>
  <c r="M403" i="12" s="1"/>
  <c r="K174" i="12"/>
  <c r="H173" i="12"/>
  <c r="K175" i="12"/>
  <c r="H175" i="12"/>
  <c r="H174" i="12"/>
  <c r="K176" i="12"/>
  <c r="M176" i="12" s="1"/>
  <c r="M210" i="12"/>
  <c r="M20" i="12"/>
  <c r="M556" i="12"/>
  <c r="M558" i="12" s="1"/>
  <c r="Q571" i="12" s="1"/>
  <c r="H592" i="12"/>
  <c r="H594" i="12"/>
  <c r="H593" i="12"/>
  <c r="K249" i="12"/>
  <c r="AA93" i="12"/>
  <c r="Q99" i="12"/>
  <c r="R99" i="12" s="1"/>
  <c r="R100" i="12" s="1"/>
  <c r="K859" i="12"/>
  <c r="H858" i="12"/>
  <c r="H859" i="12"/>
  <c r="M859" i="12" s="1"/>
  <c r="H860" i="12"/>
  <c r="M860" i="12" s="1"/>
  <c r="K860" i="12"/>
  <c r="K861" i="12"/>
  <c r="M861" i="12" s="1"/>
  <c r="AB626" i="12"/>
  <c r="K629" i="12"/>
  <c r="M629" i="12" s="1"/>
  <c r="M895" i="12"/>
  <c r="H440" i="12"/>
  <c r="H441" i="12"/>
  <c r="K443" i="12"/>
  <c r="M443" i="12" s="1"/>
  <c r="H442" i="12"/>
  <c r="Q61" i="12"/>
  <c r="R61" i="12" s="1"/>
  <c r="R62" i="12" s="1"/>
  <c r="AA55" i="12"/>
  <c r="Q822" i="12"/>
  <c r="R822" i="12" s="1"/>
  <c r="R823" i="12" s="1"/>
  <c r="AA816" i="12"/>
  <c r="Q23" i="12"/>
  <c r="R23" i="12" s="1"/>
  <c r="R24" i="12" s="1"/>
  <c r="K705" i="12"/>
  <c r="M705" i="12" s="1"/>
  <c r="K401" i="12"/>
  <c r="K172" i="12"/>
  <c r="M172" i="12" s="1"/>
  <c r="M137" i="12"/>
  <c r="Q670" i="12"/>
  <c r="R670" i="12" s="1"/>
  <c r="R671" i="12" s="1"/>
  <c r="AA664" i="12"/>
  <c r="H364" i="12"/>
  <c r="H365" i="12"/>
  <c r="H366" i="12"/>
  <c r="H288" i="12"/>
  <c r="H290" i="12"/>
  <c r="H289" i="12"/>
  <c r="H668" i="12"/>
  <c r="H670" i="12"/>
  <c r="H669" i="12"/>
  <c r="K211" i="12"/>
  <c r="AA284" i="12"/>
  <c r="Q746" i="12"/>
  <c r="R746" i="12" s="1"/>
  <c r="R747" i="12" s="1"/>
  <c r="K250" i="12"/>
  <c r="H249" i="12"/>
  <c r="M249" i="12" s="1"/>
  <c r="K251" i="12"/>
  <c r="K252" i="12"/>
  <c r="M252" i="12" s="1"/>
  <c r="H250" i="12"/>
  <c r="H251" i="12"/>
  <c r="H478" i="12"/>
  <c r="H480" i="12"/>
  <c r="H479" i="12"/>
  <c r="K858" i="12"/>
  <c r="K896" i="12"/>
  <c r="AA474" i="12"/>
  <c r="M439" i="12"/>
  <c r="Q442" i="12"/>
  <c r="R442" i="12" s="1"/>
  <c r="R443" i="12" s="1"/>
  <c r="AB778" i="12"/>
  <c r="K782" i="12" s="1"/>
  <c r="M782" i="12" s="1"/>
  <c r="K781" i="12"/>
  <c r="M781" i="12" s="1"/>
  <c r="M401" i="12"/>
  <c r="H97" i="12"/>
  <c r="H99" i="12"/>
  <c r="H98" i="12"/>
  <c r="M136" i="12"/>
  <c r="M139" i="12" s="1"/>
  <c r="Q152" i="12" s="1"/>
  <c r="H21" i="12"/>
  <c r="H23" i="12"/>
  <c r="H22" i="12"/>
  <c r="Q594" i="12"/>
  <c r="R594" i="12" s="1"/>
  <c r="R595" i="12" s="1"/>
  <c r="AA588" i="12"/>
  <c r="M743" i="12"/>
  <c r="Q366" i="12"/>
  <c r="R366" i="12" s="1"/>
  <c r="R367" i="12" s="1"/>
  <c r="AA360" i="12"/>
  <c r="K212" i="12"/>
  <c r="H211" i="12"/>
  <c r="M211" i="12" s="1"/>
  <c r="K213" i="12"/>
  <c r="H213" i="12"/>
  <c r="M213" i="12" s="1"/>
  <c r="H212" i="12"/>
  <c r="M212" i="12" s="1"/>
  <c r="K214" i="12"/>
  <c r="M214" i="12" s="1"/>
  <c r="H744" i="12"/>
  <c r="H745" i="12"/>
  <c r="H746" i="12"/>
  <c r="M248" i="12"/>
  <c r="M328" i="12"/>
  <c r="M330" i="12" s="1"/>
  <c r="Q343" i="12" s="1"/>
  <c r="M857" i="12"/>
  <c r="K897" i="12"/>
  <c r="H896" i="12"/>
  <c r="M896" i="12" s="1"/>
  <c r="K898" i="12"/>
  <c r="H897" i="12"/>
  <c r="M897" i="12" s="1"/>
  <c r="K899" i="12"/>
  <c r="M899" i="12" s="1"/>
  <c r="H898" i="12"/>
  <c r="H516" i="12"/>
  <c r="H518" i="12"/>
  <c r="H517" i="12"/>
  <c r="K706" i="12"/>
  <c r="K402" i="12"/>
  <c r="K173" i="12"/>
  <c r="AA892" i="13"/>
  <c r="Q898" i="13"/>
  <c r="R898" i="13" s="1"/>
  <c r="R899" i="13" s="1"/>
  <c r="H896" i="13"/>
  <c r="H898" i="13"/>
  <c r="H897" i="13"/>
  <c r="H858" i="13"/>
  <c r="H859" i="13"/>
  <c r="H860" i="13"/>
  <c r="Q860" i="13"/>
  <c r="R860" i="13" s="1"/>
  <c r="R861" i="13" s="1"/>
  <c r="AA854" i="13"/>
  <c r="Q822" i="13"/>
  <c r="R822" i="13" s="1"/>
  <c r="R823" i="13" s="1"/>
  <c r="AA816" i="13"/>
  <c r="H820" i="13"/>
  <c r="H821" i="13"/>
  <c r="H822" i="13"/>
  <c r="H782" i="13"/>
  <c r="H783" i="13"/>
  <c r="H784" i="13"/>
  <c r="Q784" i="13"/>
  <c r="R784" i="13" s="1"/>
  <c r="R785" i="13" s="1"/>
  <c r="AA778" i="13"/>
  <c r="H744" i="13"/>
  <c r="H746" i="13"/>
  <c r="H745" i="13"/>
  <c r="Q746" i="13"/>
  <c r="R746" i="13" s="1"/>
  <c r="R747" i="13" s="1"/>
  <c r="AA740" i="13"/>
  <c r="AA702" i="13"/>
  <c r="Q708" i="13"/>
  <c r="R708" i="13" s="1"/>
  <c r="R709" i="13" s="1"/>
  <c r="H706" i="13"/>
  <c r="H708" i="13"/>
  <c r="H707" i="13"/>
  <c r="Q670" i="13"/>
  <c r="R670" i="13" s="1"/>
  <c r="R671" i="13" s="1"/>
  <c r="K667" i="13"/>
  <c r="M667" i="13" s="1"/>
  <c r="H668" i="13"/>
  <c r="M668" i="13" s="1"/>
  <c r="K669" i="13"/>
  <c r="H669" i="13"/>
  <c r="H670" i="13"/>
  <c r="K670" i="13"/>
  <c r="K671" i="13"/>
  <c r="M671" i="13" s="1"/>
  <c r="AB626" i="13"/>
  <c r="K630" i="13" s="1"/>
  <c r="K629" i="13"/>
  <c r="M629" i="13" s="1"/>
  <c r="Q632" i="13"/>
  <c r="R632" i="13" s="1"/>
  <c r="R633" i="13" s="1"/>
  <c r="H630" i="13"/>
  <c r="K632" i="13"/>
  <c r="H632" i="13"/>
  <c r="H631" i="13"/>
  <c r="H594" i="13"/>
  <c r="K593" i="13"/>
  <c r="K595" i="13"/>
  <c r="M595" i="13" s="1"/>
  <c r="H592" i="13"/>
  <c r="K594" i="13"/>
  <c r="H593" i="13"/>
  <c r="M593" i="13" s="1"/>
  <c r="K592" i="13"/>
  <c r="K591" i="13"/>
  <c r="M591" i="13" s="1"/>
  <c r="H554" i="13"/>
  <c r="H555" i="13"/>
  <c r="H556" i="13"/>
  <c r="AA550" i="13"/>
  <c r="Q556" i="13"/>
  <c r="R556" i="13" s="1"/>
  <c r="R557" i="13" s="1"/>
  <c r="Q518" i="13"/>
  <c r="R518" i="13" s="1"/>
  <c r="R519" i="13" s="1"/>
  <c r="AA512" i="13"/>
  <c r="H516" i="13"/>
  <c r="H518" i="13"/>
  <c r="H517" i="13"/>
  <c r="AA474" i="13"/>
  <c r="AB474" i="13" s="1"/>
  <c r="K479" i="13" s="1"/>
  <c r="Q480" i="13"/>
  <c r="R480" i="13" s="1"/>
  <c r="R481" i="13" s="1"/>
  <c r="H478" i="13"/>
  <c r="H480" i="13"/>
  <c r="H479" i="13"/>
  <c r="Q442" i="13"/>
  <c r="R442" i="13" s="1"/>
  <c r="R443" i="13" s="1"/>
  <c r="AA436" i="13"/>
  <c r="H440" i="13"/>
  <c r="H442" i="13"/>
  <c r="H441" i="13"/>
  <c r="Q404" i="13"/>
  <c r="R404" i="13" s="1"/>
  <c r="R405" i="13" s="1"/>
  <c r="K401" i="13"/>
  <c r="M401" i="13" s="1"/>
  <c r="H402" i="13"/>
  <c r="K403" i="13"/>
  <c r="K405" i="13"/>
  <c r="M405" i="13" s="1"/>
  <c r="K404" i="13"/>
  <c r="H404" i="13"/>
  <c r="H403" i="13"/>
  <c r="M403" i="13" s="1"/>
  <c r="K402" i="13"/>
  <c r="Q366" i="13"/>
  <c r="R366" i="13" s="1"/>
  <c r="R367" i="13" s="1"/>
  <c r="AA360" i="13"/>
  <c r="Q328" i="13"/>
  <c r="R328" i="13" s="1"/>
  <c r="R329" i="13" s="1"/>
  <c r="AA322" i="13"/>
  <c r="H326" i="13"/>
  <c r="H327" i="13"/>
  <c r="H328" i="13"/>
  <c r="AA284" i="13"/>
  <c r="AB284" i="13" s="1"/>
  <c r="K287" i="13"/>
  <c r="M287" i="13" s="1"/>
  <c r="Q290" i="13"/>
  <c r="R290" i="13" s="1"/>
  <c r="R291" i="13" s="1"/>
  <c r="H288" i="13"/>
  <c r="H290" i="13"/>
  <c r="H289" i="13"/>
  <c r="U55" i="13"/>
  <c r="AB245" i="13"/>
  <c r="K249" i="13" s="1"/>
  <c r="M249" i="13" s="1"/>
  <c r="K248" i="13"/>
  <c r="M248" i="13" s="1"/>
  <c r="P207" i="13"/>
  <c r="AB206" i="13"/>
  <c r="H210" i="13"/>
  <c r="Z169" i="13"/>
  <c r="K169" i="13"/>
  <c r="AB168" i="13"/>
  <c r="H172" i="13"/>
  <c r="AB130" i="13"/>
  <c r="K131" i="13"/>
  <c r="P93" i="13"/>
  <c r="Z93" i="13"/>
  <c r="U93" i="13"/>
  <c r="AB92" i="13"/>
  <c r="H96" i="13"/>
  <c r="K55" i="13"/>
  <c r="AA55" i="13"/>
  <c r="AB55" i="13" s="1"/>
  <c r="AB54" i="13"/>
  <c r="H58" i="13"/>
  <c r="P17" i="13"/>
  <c r="AB16" i="13"/>
  <c r="H20" i="13"/>
  <c r="AB14" i="11"/>
  <c r="H20" i="11" s="1"/>
  <c r="H18" i="11"/>
  <c r="AA15" i="11" l="1"/>
  <c r="M672" i="6"/>
  <c r="Q685" i="6" s="1"/>
  <c r="M634" i="6"/>
  <c r="Q647" i="6" s="1"/>
  <c r="M482" i="6"/>
  <c r="Q495" i="6" s="1"/>
  <c r="K289" i="6"/>
  <c r="M289" i="6" s="1"/>
  <c r="K291" i="6"/>
  <c r="M291" i="6" s="1"/>
  <c r="K290" i="6"/>
  <c r="M290" i="6" s="1"/>
  <c r="M292" i="6" s="1"/>
  <c r="Q305" i="6" s="1"/>
  <c r="K99" i="6"/>
  <c r="M99" i="6" s="1"/>
  <c r="K100" i="6"/>
  <c r="M100" i="6" s="1"/>
  <c r="K98" i="6"/>
  <c r="M98" i="6" s="1"/>
  <c r="K22" i="6"/>
  <c r="M22" i="6" s="1"/>
  <c r="K24" i="6"/>
  <c r="M24" i="6" s="1"/>
  <c r="K23" i="6"/>
  <c r="M23" i="6" s="1"/>
  <c r="K327" i="6"/>
  <c r="M327" i="6" s="1"/>
  <c r="M330" i="6" s="1"/>
  <c r="Q343" i="6" s="1"/>
  <c r="K328" i="6"/>
  <c r="M328" i="6" s="1"/>
  <c r="K329" i="6"/>
  <c r="M329" i="6" s="1"/>
  <c r="K443" i="6"/>
  <c r="M443" i="6" s="1"/>
  <c r="K441" i="6"/>
  <c r="M441" i="6" s="1"/>
  <c r="K442" i="6"/>
  <c r="M442" i="6" s="1"/>
  <c r="K746" i="6"/>
  <c r="M746" i="6" s="1"/>
  <c r="K745" i="6"/>
  <c r="M745" i="6" s="1"/>
  <c r="K747" i="6"/>
  <c r="M747" i="6" s="1"/>
  <c r="K744" i="6"/>
  <c r="M744" i="6" s="1"/>
  <c r="M748" i="6" s="1"/>
  <c r="Q761" i="6" s="1"/>
  <c r="K61" i="6"/>
  <c r="M61" i="6" s="1"/>
  <c r="K60" i="6"/>
  <c r="M60" i="6" s="1"/>
  <c r="K62" i="6"/>
  <c r="M62" i="6" s="1"/>
  <c r="M63" i="6" s="1"/>
  <c r="Q76" i="6" s="1"/>
  <c r="K176" i="6"/>
  <c r="M176" i="6" s="1"/>
  <c r="K174" i="6"/>
  <c r="M174" i="6" s="1"/>
  <c r="K175" i="6"/>
  <c r="M175" i="6" s="1"/>
  <c r="K897" i="6"/>
  <c r="M897" i="6" s="1"/>
  <c r="K899" i="6"/>
  <c r="M899" i="6" s="1"/>
  <c r="K898" i="6"/>
  <c r="M898" i="6" s="1"/>
  <c r="M101" i="6"/>
  <c r="Q114" i="6" s="1"/>
  <c r="K517" i="6"/>
  <c r="M517" i="6" s="1"/>
  <c r="K519" i="6"/>
  <c r="M519" i="6" s="1"/>
  <c r="K518" i="6"/>
  <c r="M518" i="6" s="1"/>
  <c r="K21" i="6"/>
  <c r="M21" i="6" s="1"/>
  <c r="K896" i="6"/>
  <c r="M896" i="6" s="1"/>
  <c r="K138" i="6"/>
  <c r="M138" i="6" s="1"/>
  <c r="K136" i="6"/>
  <c r="M136" i="6" s="1"/>
  <c r="K137" i="6"/>
  <c r="M137" i="6" s="1"/>
  <c r="K440" i="6"/>
  <c r="M440" i="6" s="1"/>
  <c r="M444" i="6" s="1"/>
  <c r="Q457" i="6" s="1"/>
  <c r="M786" i="5"/>
  <c r="Q799" i="5" s="1"/>
  <c r="M672" i="5"/>
  <c r="Q685" i="5" s="1"/>
  <c r="M368" i="5"/>
  <c r="Q381" i="5" s="1"/>
  <c r="M330" i="5"/>
  <c r="Q343" i="5" s="1"/>
  <c r="M292" i="5"/>
  <c r="Q305" i="5" s="1"/>
  <c r="K174" i="5"/>
  <c r="M174" i="5" s="1"/>
  <c r="K176" i="5"/>
  <c r="M176" i="5" s="1"/>
  <c r="K175" i="5"/>
  <c r="M175" i="5" s="1"/>
  <c r="K898" i="5"/>
  <c r="M898" i="5" s="1"/>
  <c r="K897" i="5"/>
  <c r="M897" i="5" s="1"/>
  <c r="K899" i="5"/>
  <c r="M899" i="5" s="1"/>
  <c r="K821" i="5"/>
  <c r="M821" i="5" s="1"/>
  <c r="K823" i="5"/>
  <c r="M823" i="5" s="1"/>
  <c r="K822" i="5"/>
  <c r="M822" i="5" s="1"/>
  <c r="K859" i="5"/>
  <c r="M859" i="5" s="1"/>
  <c r="M862" i="5" s="1"/>
  <c r="Q875" i="5" s="1"/>
  <c r="K861" i="5"/>
  <c r="M861" i="5" s="1"/>
  <c r="K860" i="5"/>
  <c r="M860" i="5" s="1"/>
  <c r="K136" i="5"/>
  <c r="M136" i="5" s="1"/>
  <c r="K138" i="5"/>
  <c r="M138" i="5" s="1"/>
  <c r="K137" i="5"/>
  <c r="M137" i="5" s="1"/>
  <c r="M177" i="5"/>
  <c r="Q190" i="5" s="1"/>
  <c r="K518" i="5"/>
  <c r="M518" i="5" s="1"/>
  <c r="K517" i="5"/>
  <c r="M517" i="5" s="1"/>
  <c r="K519" i="5"/>
  <c r="M519" i="5" s="1"/>
  <c r="M898" i="12"/>
  <c r="K746" i="12"/>
  <c r="K745" i="12"/>
  <c r="M745" i="12"/>
  <c r="K747" i="12"/>
  <c r="M747" i="12" s="1"/>
  <c r="M746" i="12"/>
  <c r="M23" i="12"/>
  <c r="K24" i="12"/>
  <c r="M24" i="12" s="1"/>
  <c r="K22" i="12"/>
  <c r="M22" i="12" s="1"/>
  <c r="K23" i="12"/>
  <c r="AB284" i="12"/>
  <c r="K287" i="12"/>
  <c r="M287" i="12" s="1"/>
  <c r="K288" i="12"/>
  <c r="M288" i="12" s="1"/>
  <c r="K631" i="12"/>
  <c r="M631" i="12" s="1"/>
  <c r="K632" i="12"/>
  <c r="M632" i="12" s="1"/>
  <c r="K633" i="12"/>
  <c r="M633" i="12" s="1"/>
  <c r="M174" i="12"/>
  <c r="AB588" i="12"/>
  <c r="K592" i="12" s="1"/>
  <c r="M592" i="12" s="1"/>
  <c r="K591" i="12"/>
  <c r="M591" i="12" s="1"/>
  <c r="AB474" i="12"/>
  <c r="K478" i="12" s="1"/>
  <c r="M478" i="12" s="1"/>
  <c r="K477" i="12"/>
  <c r="M477" i="12" s="1"/>
  <c r="AB664" i="12"/>
  <c r="K667" i="12"/>
  <c r="M667" i="12" s="1"/>
  <c r="K668" i="12"/>
  <c r="M668" i="12" s="1"/>
  <c r="M900" i="12"/>
  <c r="Q913" i="12" s="1"/>
  <c r="M858" i="12"/>
  <c r="M862" i="12" s="1"/>
  <c r="Q875" i="12" s="1"/>
  <c r="M175" i="12"/>
  <c r="AB512" i="12"/>
  <c r="K516" i="12" s="1"/>
  <c r="M516" i="12" s="1"/>
  <c r="K515" i="12"/>
  <c r="M515" i="12" s="1"/>
  <c r="M250" i="12"/>
  <c r="M744" i="12"/>
  <c r="AB360" i="12"/>
  <c r="K363" i="12"/>
  <c r="M363" i="12" s="1"/>
  <c r="K783" i="12"/>
  <c r="M783" i="12" s="1"/>
  <c r="M786" i="12" s="1"/>
  <c r="Q799" i="12" s="1"/>
  <c r="K784" i="12"/>
  <c r="M784" i="12" s="1"/>
  <c r="K785" i="12"/>
  <c r="M785" i="12" s="1"/>
  <c r="AB816" i="12"/>
  <c r="K819" i="12"/>
  <c r="M819" i="12" s="1"/>
  <c r="K820" i="12"/>
  <c r="K442" i="12"/>
  <c r="M440" i="12"/>
  <c r="M215" i="12"/>
  <c r="Q228" i="12" s="1"/>
  <c r="M402" i="12"/>
  <c r="M406" i="12" s="1"/>
  <c r="Q419" i="12" s="1"/>
  <c r="AB55" i="12"/>
  <c r="K58" i="12"/>
  <c r="M58" i="12" s="1"/>
  <c r="AB93" i="12"/>
  <c r="K97" i="12" s="1"/>
  <c r="M97" i="12" s="1"/>
  <c r="K96" i="12"/>
  <c r="M96" i="12" s="1"/>
  <c r="M21" i="12"/>
  <c r="M251" i="12"/>
  <c r="M253" i="12" s="1"/>
  <c r="Q266" i="12" s="1"/>
  <c r="M442" i="12"/>
  <c r="K441" i="12"/>
  <c r="M441" i="12" s="1"/>
  <c r="M444" i="12" s="1"/>
  <c r="Q457" i="12" s="1"/>
  <c r="K630" i="12"/>
  <c r="M630" i="12" s="1"/>
  <c r="M634" i="12" s="1"/>
  <c r="Q647" i="12" s="1"/>
  <c r="M173" i="12"/>
  <c r="M177" i="12" s="1"/>
  <c r="Q190" i="12" s="1"/>
  <c r="M404" i="12"/>
  <c r="M706" i="12"/>
  <c r="M710" i="12" s="1"/>
  <c r="Q723" i="12" s="1"/>
  <c r="M820" i="12"/>
  <c r="AB892" i="13"/>
  <c r="K896" i="13" s="1"/>
  <c r="M896" i="13" s="1"/>
  <c r="K895" i="13"/>
  <c r="M895" i="13" s="1"/>
  <c r="AB854" i="13"/>
  <c r="K858" i="13" s="1"/>
  <c r="M858" i="13" s="1"/>
  <c r="K857" i="13"/>
  <c r="M857" i="13" s="1"/>
  <c r="AB816" i="13"/>
  <c r="K820" i="13" s="1"/>
  <c r="M820" i="13" s="1"/>
  <c r="K819" i="13"/>
  <c r="M819" i="13" s="1"/>
  <c r="AB778" i="13"/>
  <c r="K782" i="13" s="1"/>
  <c r="M782" i="13" s="1"/>
  <c r="K781" i="13"/>
  <c r="M781" i="13" s="1"/>
  <c r="AB740" i="13"/>
  <c r="K744" i="13"/>
  <c r="M744" i="13" s="1"/>
  <c r="K743" i="13"/>
  <c r="M743" i="13" s="1"/>
  <c r="AB702" i="13"/>
  <c r="K705" i="13"/>
  <c r="M705" i="13" s="1"/>
  <c r="M670" i="13"/>
  <c r="M669" i="13"/>
  <c r="K633" i="13"/>
  <c r="M633" i="13" s="1"/>
  <c r="K631" i="13"/>
  <c r="M631" i="13" s="1"/>
  <c r="M632" i="13"/>
  <c r="M630" i="13"/>
  <c r="M594" i="13"/>
  <c r="M592" i="13"/>
  <c r="AB550" i="13"/>
  <c r="K554" i="13" s="1"/>
  <c r="M554" i="13" s="1"/>
  <c r="K553" i="13"/>
  <c r="M553" i="13" s="1"/>
  <c r="AB512" i="13"/>
  <c r="K516" i="13" s="1"/>
  <c r="M516" i="13" s="1"/>
  <c r="K515" i="13"/>
  <c r="M515" i="13" s="1"/>
  <c r="K477" i="13"/>
  <c r="M477" i="13" s="1"/>
  <c r="K480" i="13"/>
  <c r="K478" i="13"/>
  <c r="M478" i="13" s="1"/>
  <c r="K481" i="13"/>
  <c r="M481" i="13" s="1"/>
  <c r="M479" i="13"/>
  <c r="M480" i="13"/>
  <c r="AB436" i="13"/>
  <c r="K439" i="13"/>
  <c r="M439" i="13" s="1"/>
  <c r="M404" i="13"/>
  <c r="M402" i="13"/>
  <c r="AB360" i="13"/>
  <c r="K364" i="13" s="1"/>
  <c r="M364" i="13" s="1"/>
  <c r="K363" i="13"/>
  <c r="M363" i="13" s="1"/>
  <c r="AB322" i="13"/>
  <c r="K325" i="13"/>
  <c r="M325" i="13" s="1"/>
  <c r="K290" i="13"/>
  <c r="K288" i="13"/>
  <c r="M288" i="13" s="1"/>
  <c r="K291" i="13"/>
  <c r="M291" i="13" s="1"/>
  <c r="K289" i="13"/>
  <c r="M289" i="13"/>
  <c r="M290" i="13"/>
  <c r="Q61" i="13"/>
  <c r="R61" i="13" s="1"/>
  <c r="R62" i="13" s="1"/>
  <c r="K251" i="13"/>
  <c r="M251" i="13" s="1"/>
  <c r="K250" i="13"/>
  <c r="M250" i="13" s="1"/>
  <c r="K252" i="13"/>
  <c r="M252" i="13" s="1"/>
  <c r="AA207" i="13"/>
  <c r="Q213" i="13"/>
  <c r="R213" i="13" s="1"/>
  <c r="R214" i="13" s="1"/>
  <c r="H211" i="13"/>
  <c r="H212" i="13"/>
  <c r="H213" i="13"/>
  <c r="AA169" i="13"/>
  <c r="Q175" i="13"/>
  <c r="R175" i="13" s="1"/>
  <c r="R176" i="13" s="1"/>
  <c r="H173" i="13"/>
  <c r="H175" i="13"/>
  <c r="H174" i="13"/>
  <c r="Q137" i="13"/>
  <c r="R137" i="13" s="1"/>
  <c r="R138" i="13" s="1"/>
  <c r="AA131" i="13"/>
  <c r="H135" i="13"/>
  <c r="H137" i="13"/>
  <c r="H136" i="13"/>
  <c r="AA93" i="13"/>
  <c r="AB93" i="13" s="1"/>
  <c r="K98" i="13" s="1"/>
  <c r="Q99" i="13"/>
  <c r="R99" i="13" s="1"/>
  <c r="R100" i="13" s="1"/>
  <c r="H97" i="13"/>
  <c r="H99" i="13"/>
  <c r="H98" i="13"/>
  <c r="K59" i="13"/>
  <c r="K58" i="13"/>
  <c r="M58" i="13" s="1"/>
  <c r="H59" i="13"/>
  <c r="K60" i="13"/>
  <c r="K61" i="13"/>
  <c r="K62" i="13"/>
  <c r="M62" i="13" s="1"/>
  <c r="H60" i="13"/>
  <c r="H61" i="13"/>
  <c r="AA17" i="13"/>
  <c r="Q23" i="13"/>
  <c r="R23" i="13" s="1"/>
  <c r="R24" i="13" s="1"/>
  <c r="H21" i="13"/>
  <c r="H23" i="13"/>
  <c r="H22" i="13"/>
  <c r="H19" i="11"/>
  <c r="H21" i="11"/>
  <c r="R21" i="11" l="1"/>
  <c r="R22" i="11" s="1"/>
  <c r="U22" i="11" s="1"/>
  <c r="M900" i="6"/>
  <c r="Q913" i="6" s="1"/>
  <c r="M520" i="6"/>
  <c r="Q533" i="6" s="1"/>
  <c r="M177" i="6"/>
  <c r="Q190" i="6" s="1"/>
  <c r="M139" i="6"/>
  <c r="Q152" i="6" s="1"/>
  <c r="M25" i="6"/>
  <c r="Q38" i="6" s="1"/>
  <c r="M900" i="5"/>
  <c r="Q913" i="5" s="1"/>
  <c r="M824" i="5"/>
  <c r="Q837" i="5" s="1"/>
  <c r="M520" i="5"/>
  <c r="Q533" i="5" s="1"/>
  <c r="M139" i="5"/>
  <c r="Q152" i="5" s="1"/>
  <c r="M748" i="12"/>
  <c r="Q761" i="12" s="1"/>
  <c r="M25" i="12"/>
  <c r="Q38" i="12" s="1"/>
  <c r="K365" i="12"/>
  <c r="M365" i="12" s="1"/>
  <c r="K367" i="12"/>
  <c r="M367" i="12" s="1"/>
  <c r="K366" i="12"/>
  <c r="M366" i="12" s="1"/>
  <c r="K98" i="12"/>
  <c r="M98" i="12" s="1"/>
  <c r="K100" i="12"/>
  <c r="M100" i="12" s="1"/>
  <c r="K99" i="12"/>
  <c r="M99" i="12" s="1"/>
  <c r="M101" i="12" s="1"/>
  <c r="Q114" i="12" s="1"/>
  <c r="K519" i="12"/>
  <c r="M519" i="12" s="1"/>
  <c r="K518" i="12"/>
  <c r="M518" i="12" s="1"/>
  <c r="M520" i="12" s="1"/>
  <c r="Q533" i="12" s="1"/>
  <c r="K517" i="12"/>
  <c r="M517" i="12" s="1"/>
  <c r="K291" i="12"/>
  <c r="M291" i="12" s="1"/>
  <c r="K289" i="12"/>
  <c r="M289" i="12" s="1"/>
  <c r="K290" i="12"/>
  <c r="M290" i="12" s="1"/>
  <c r="K822" i="12"/>
  <c r="M822" i="12" s="1"/>
  <c r="K821" i="12"/>
  <c r="M821" i="12" s="1"/>
  <c r="K823" i="12"/>
  <c r="M823" i="12" s="1"/>
  <c r="K669" i="12"/>
  <c r="M669" i="12" s="1"/>
  <c r="K671" i="12"/>
  <c r="M671" i="12" s="1"/>
  <c r="M672" i="12" s="1"/>
  <c r="Q685" i="12" s="1"/>
  <c r="K670" i="12"/>
  <c r="M670" i="12" s="1"/>
  <c r="K60" i="12"/>
  <c r="M60" i="12" s="1"/>
  <c r="K62" i="12"/>
  <c r="M62" i="12" s="1"/>
  <c r="K61" i="12"/>
  <c r="M61" i="12" s="1"/>
  <c r="K59" i="12"/>
  <c r="M59" i="12" s="1"/>
  <c r="K364" i="12"/>
  <c r="M364" i="12" s="1"/>
  <c r="M368" i="12" s="1"/>
  <c r="Q381" i="12" s="1"/>
  <c r="K479" i="12"/>
  <c r="M479" i="12" s="1"/>
  <c r="K481" i="12"/>
  <c r="M481" i="12" s="1"/>
  <c r="K480" i="12"/>
  <c r="M480" i="12" s="1"/>
  <c r="K593" i="12"/>
  <c r="M593" i="12" s="1"/>
  <c r="K595" i="12"/>
  <c r="M595" i="12" s="1"/>
  <c r="K594" i="12"/>
  <c r="M594" i="12" s="1"/>
  <c r="K899" i="13"/>
  <c r="M899" i="13" s="1"/>
  <c r="K897" i="13"/>
  <c r="M897" i="13" s="1"/>
  <c r="K898" i="13"/>
  <c r="M898" i="13" s="1"/>
  <c r="K860" i="13"/>
  <c r="M860" i="13" s="1"/>
  <c r="K861" i="13"/>
  <c r="M861" i="13" s="1"/>
  <c r="K859" i="13"/>
  <c r="M859" i="13" s="1"/>
  <c r="K821" i="13"/>
  <c r="M821" i="13" s="1"/>
  <c r="K823" i="13"/>
  <c r="M823" i="13" s="1"/>
  <c r="K822" i="13"/>
  <c r="M822" i="13" s="1"/>
  <c r="K783" i="13"/>
  <c r="M783" i="13" s="1"/>
  <c r="K784" i="13"/>
  <c r="M784" i="13" s="1"/>
  <c r="K785" i="13"/>
  <c r="M785" i="13" s="1"/>
  <c r="K745" i="13"/>
  <c r="M745" i="13" s="1"/>
  <c r="K747" i="13"/>
  <c r="M747" i="13" s="1"/>
  <c r="K746" i="13"/>
  <c r="M746" i="13" s="1"/>
  <c r="K707" i="13"/>
  <c r="M707" i="13" s="1"/>
  <c r="K709" i="13"/>
  <c r="M709" i="13" s="1"/>
  <c r="K708" i="13"/>
  <c r="M708" i="13" s="1"/>
  <c r="K706" i="13"/>
  <c r="M706" i="13" s="1"/>
  <c r="M672" i="13"/>
  <c r="Q685" i="13" s="1"/>
  <c r="M634" i="13"/>
  <c r="Q647" i="13" s="1"/>
  <c r="M596" i="13"/>
  <c r="Q609" i="13" s="1"/>
  <c r="K555" i="13"/>
  <c r="M555" i="13" s="1"/>
  <c r="K557" i="13"/>
  <c r="M557" i="13" s="1"/>
  <c r="K556" i="13"/>
  <c r="M556" i="13" s="1"/>
  <c r="K518" i="13"/>
  <c r="M518" i="13" s="1"/>
  <c r="K519" i="13"/>
  <c r="M519" i="13" s="1"/>
  <c r="K517" i="13"/>
  <c r="M517" i="13" s="1"/>
  <c r="M482" i="13"/>
  <c r="Q495" i="13" s="1"/>
  <c r="K441" i="13"/>
  <c r="M441" i="13" s="1"/>
  <c r="K443" i="13"/>
  <c r="M443" i="13" s="1"/>
  <c r="K442" i="13"/>
  <c r="M442" i="13" s="1"/>
  <c r="K440" i="13"/>
  <c r="M440" i="13" s="1"/>
  <c r="M406" i="13"/>
  <c r="Q419" i="13" s="1"/>
  <c r="K366" i="13"/>
  <c r="M366" i="13" s="1"/>
  <c r="K365" i="13"/>
  <c r="M365" i="13" s="1"/>
  <c r="K367" i="13"/>
  <c r="M367" i="13" s="1"/>
  <c r="K327" i="13"/>
  <c r="M327" i="13" s="1"/>
  <c r="K329" i="13"/>
  <c r="M329" i="13" s="1"/>
  <c r="K328" i="13"/>
  <c r="M328" i="13" s="1"/>
  <c r="K326" i="13"/>
  <c r="M326" i="13" s="1"/>
  <c r="M292" i="13"/>
  <c r="Q305" i="13" s="1"/>
  <c r="M253" i="13"/>
  <c r="Q266" i="13" s="1"/>
  <c r="AB207" i="13"/>
  <c r="K210" i="13"/>
  <c r="M210" i="13" s="1"/>
  <c r="AB169" i="13"/>
  <c r="K172" i="13"/>
  <c r="M172" i="13" s="1"/>
  <c r="AB131" i="13"/>
  <c r="K134" i="13"/>
  <c r="M134" i="13" s="1"/>
  <c r="K96" i="13"/>
  <c r="M96" i="13" s="1"/>
  <c r="K100" i="13"/>
  <c r="M100" i="13" s="1"/>
  <c r="K97" i="13"/>
  <c r="M97" i="13" s="1"/>
  <c r="K99" i="13"/>
  <c r="M99" i="13" s="1"/>
  <c r="M98" i="13"/>
  <c r="M59" i="13"/>
  <c r="M61" i="13"/>
  <c r="M60" i="13"/>
  <c r="AB17" i="13"/>
  <c r="K21" i="13" s="1"/>
  <c r="M21" i="13" s="1"/>
  <c r="K20" i="13"/>
  <c r="M20" i="13" s="1"/>
  <c r="AB15" i="11"/>
  <c r="K19" i="11" s="1"/>
  <c r="K18" i="11"/>
  <c r="M18" i="11" s="1"/>
  <c r="M824" i="12" l="1"/>
  <c r="Q837" i="12" s="1"/>
  <c r="M596" i="12"/>
  <c r="Q609" i="12" s="1"/>
  <c r="M482" i="12"/>
  <c r="Q495" i="12" s="1"/>
  <c r="M292" i="12"/>
  <c r="Q305" i="12" s="1"/>
  <c r="M63" i="12"/>
  <c r="Q76" i="12" s="1"/>
  <c r="M900" i="13"/>
  <c r="Q913" i="13" s="1"/>
  <c r="M862" i="13"/>
  <c r="Q875" i="13" s="1"/>
  <c r="M824" i="13"/>
  <c r="Q837" i="13" s="1"/>
  <c r="M786" i="13"/>
  <c r="Q799" i="13" s="1"/>
  <c r="M748" i="13"/>
  <c r="Q761" i="13" s="1"/>
  <c r="M710" i="13"/>
  <c r="Q723" i="13" s="1"/>
  <c r="M558" i="13"/>
  <c r="Q571" i="13" s="1"/>
  <c r="M520" i="13"/>
  <c r="Q533" i="13" s="1"/>
  <c r="M444" i="13"/>
  <c r="Q457" i="13" s="1"/>
  <c r="M368" i="13"/>
  <c r="Q381" i="13" s="1"/>
  <c r="M330" i="13"/>
  <c r="Q343" i="13" s="1"/>
  <c r="K213" i="13"/>
  <c r="M213" i="13" s="1"/>
  <c r="K212" i="13"/>
  <c r="M212" i="13" s="1"/>
  <c r="K214" i="13"/>
  <c r="M214" i="13" s="1"/>
  <c r="K211" i="13"/>
  <c r="M211" i="13" s="1"/>
  <c r="K176" i="13"/>
  <c r="M176" i="13" s="1"/>
  <c r="K174" i="13"/>
  <c r="M174" i="13" s="1"/>
  <c r="K175" i="13"/>
  <c r="M175" i="13" s="1"/>
  <c r="K173" i="13"/>
  <c r="M173" i="13" s="1"/>
  <c r="K138" i="13"/>
  <c r="M138" i="13" s="1"/>
  <c r="K137" i="13"/>
  <c r="M137" i="13" s="1"/>
  <c r="K136" i="13"/>
  <c r="M136" i="13" s="1"/>
  <c r="K135" i="13"/>
  <c r="M135" i="13" s="1"/>
  <c r="M101" i="13"/>
  <c r="Q114" i="13" s="1"/>
  <c r="M63" i="13"/>
  <c r="Q76" i="13" s="1"/>
  <c r="K22" i="13"/>
  <c r="M22" i="13" s="1"/>
  <c r="K24" i="13"/>
  <c r="M24" i="13" s="1"/>
  <c r="K23" i="13"/>
  <c r="M23" i="13" s="1"/>
  <c r="K22" i="11"/>
  <c r="M22" i="11" s="1"/>
  <c r="K20" i="11"/>
  <c r="M20" i="11" s="1"/>
  <c r="K21" i="11"/>
  <c r="M21" i="11" s="1"/>
  <c r="M19" i="11"/>
  <c r="M25" i="13" l="1"/>
  <c r="Q38" i="13" s="1"/>
  <c r="M215" i="13"/>
  <c r="Q228" i="13" s="1"/>
  <c r="M177" i="13"/>
  <c r="Q190" i="13" s="1"/>
  <c r="M139" i="13"/>
  <c r="Q152" i="13" s="1"/>
  <c r="M23" i="11"/>
  <c r="Q25" i="11" l="1"/>
  <c r="I29" i="11"/>
  <c r="J29" i="11" s="1"/>
</calcChain>
</file>

<file path=xl/sharedStrings.xml><?xml version="1.0" encoding="utf-8"?>
<sst xmlns="http://schemas.openxmlformats.org/spreadsheetml/2006/main" count="15143" uniqueCount="146">
  <si>
    <t>Partial Integration</t>
  </si>
  <si>
    <t>No Integration</t>
  </si>
  <si>
    <t>Full Integration</t>
  </si>
  <si>
    <t>No Group</t>
  </si>
  <si>
    <t>Mono group</t>
  </si>
  <si>
    <t>Evident Group</t>
  </si>
  <si>
    <t>Optimum Group</t>
  </si>
  <si>
    <r>
      <t>RESULTS FOR E[CPUT]</t>
    </r>
    <r>
      <rPr>
        <b/>
        <vertAlign val="subscript"/>
        <sz val="16"/>
        <color theme="1"/>
        <rFont val="Calibri"/>
        <family val="2"/>
        <scheme val="minor"/>
      </rPr>
      <t>S*M</t>
    </r>
  </si>
  <si>
    <t>SCHEDULING RESULTS</t>
  </si>
  <si>
    <t>Sequence</t>
  </si>
  <si>
    <t>Completion Time (hrs.)</t>
  </si>
  <si>
    <t>Total Inventory Carrying Cost (Rs.)</t>
  </si>
  <si>
    <t>Total Penalty Cost (Rs.)</t>
  </si>
  <si>
    <r>
      <t>E[CPUT]</t>
    </r>
    <r>
      <rPr>
        <b/>
        <vertAlign val="subscript"/>
        <sz val="9"/>
        <color theme="1"/>
        <rFont val="Calibri"/>
        <family val="2"/>
        <scheme val="minor"/>
      </rPr>
      <t xml:space="preserve">S  </t>
    </r>
    <r>
      <rPr>
        <b/>
        <sz val="9"/>
        <color theme="1"/>
        <rFont val="Calibri"/>
        <family val="2"/>
        <scheme val="minor"/>
      </rPr>
      <t>(Rs./hr.)</t>
    </r>
  </si>
  <si>
    <t>MAINTENANCE INPUT DATA</t>
  </si>
  <si>
    <t xml:space="preserve">Components </t>
  </si>
  <si>
    <t>age_in</t>
  </si>
  <si>
    <t>eta</t>
  </si>
  <si>
    <t>beta</t>
  </si>
  <si>
    <r>
      <t>MTTR</t>
    </r>
    <r>
      <rPr>
        <b/>
        <vertAlign val="subscript"/>
        <sz val="9"/>
        <color theme="1"/>
        <rFont val="Calibri"/>
        <family val="2"/>
        <scheme val="minor"/>
      </rPr>
      <t xml:space="preserve">PM </t>
    </r>
    <r>
      <rPr>
        <b/>
        <sz val="9"/>
        <color theme="1"/>
        <rFont val="Calibri"/>
        <family val="2"/>
        <scheme val="minor"/>
      </rPr>
      <t>(hrs.)</t>
    </r>
  </si>
  <si>
    <r>
      <t>MTTR</t>
    </r>
    <r>
      <rPr>
        <b/>
        <vertAlign val="subscript"/>
        <sz val="9"/>
        <color theme="1"/>
        <rFont val="Calibri"/>
        <family val="2"/>
        <scheme val="minor"/>
      </rPr>
      <t xml:space="preserve">CM </t>
    </r>
    <r>
      <rPr>
        <b/>
        <sz val="9"/>
        <color theme="1"/>
        <rFont val="Calibri"/>
        <family val="2"/>
        <scheme val="minor"/>
      </rPr>
      <t>(hrs.)</t>
    </r>
  </si>
  <si>
    <r>
      <t>FC</t>
    </r>
    <r>
      <rPr>
        <b/>
        <vertAlign val="subscript"/>
        <sz val="9"/>
        <color theme="1"/>
        <rFont val="Calibri"/>
        <family val="2"/>
        <scheme val="minor"/>
      </rPr>
      <t xml:space="preserve">PM </t>
    </r>
    <r>
      <rPr>
        <b/>
        <sz val="9"/>
        <color theme="1"/>
        <rFont val="Calibri"/>
        <family val="2"/>
        <scheme val="minor"/>
      </rPr>
      <t>(Rs.)</t>
    </r>
  </si>
  <si>
    <r>
      <t>FC</t>
    </r>
    <r>
      <rPr>
        <b/>
        <vertAlign val="subscript"/>
        <sz val="9"/>
        <color theme="1"/>
        <rFont val="Calibri"/>
        <family val="2"/>
        <scheme val="minor"/>
      </rPr>
      <t xml:space="preserve">CM </t>
    </r>
    <r>
      <rPr>
        <b/>
        <sz val="9"/>
        <color theme="1"/>
        <rFont val="Calibri"/>
        <family val="2"/>
        <scheme val="minor"/>
      </rPr>
      <t>(Rs.)</t>
    </r>
  </si>
  <si>
    <t>PR (jobs/hr.)</t>
  </si>
  <si>
    <r>
      <t>C</t>
    </r>
    <r>
      <rPr>
        <b/>
        <vertAlign val="subscript"/>
        <sz val="9"/>
        <color theme="1"/>
        <rFont val="Calibri"/>
        <family val="2"/>
        <scheme val="minor"/>
      </rPr>
      <t xml:space="preserve">LP </t>
    </r>
    <r>
      <rPr>
        <b/>
        <sz val="9"/>
        <color theme="1"/>
        <rFont val="Calibri"/>
        <family val="2"/>
        <scheme val="minor"/>
      </rPr>
      <t>(Rs./job/hr.)</t>
    </r>
  </si>
  <si>
    <t>LC (Rs./hr.)</t>
  </si>
  <si>
    <r>
      <t>T</t>
    </r>
    <r>
      <rPr>
        <b/>
        <vertAlign val="subscript"/>
        <sz val="9"/>
        <color theme="1"/>
        <rFont val="Calibri"/>
        <family val="2"/>
        <scheme val="minor"/>
      </rPr>
      <t xml:space="preserve">EVAL </t>
    </r>
    <r>
      <rPr>
        <b/>
        <sz val="9"/>
        <color theme="1"/>
        <rFont val="Calibri"/>
        <family val="2"/>
        <scheme val="minor"/>
      </rPr>
      <t>(hrs.)</t>
    </r>
  </si>
  <si>
    <t>C1</t>
  </si>
  <si>
    <t>C2</t>
  </si>
  <si>
    <t>C3</t>
  </si>
  <si>
    <t>C4</t>
  </si>
  <si>
    <r>
      <t>R</t>
    </r>
    <r>
      <rPr>
        <b/>
        <vertAlign val="subscript"/>
        <sz val="9"/>
        <color theme="1"/>
        <rFont val="Calibri"/>
        <family val="2"/>
        <scheme val="minor"/>
      </rPr>
      <t>f</t>
    </r>
  </si>
  <si>
    <t>Jobs</t>
  </si>
  <si>
    <t>Batch Size</t>
  </si>
  <si>
    <t>Total Processing Time</t>
  </si>
  <si>
    <t>Due Date</t>
  </si>
  <si>
    <t>NO GROUP</t>
  </si>
  <si>
    <t>Processing Time (min)</t>
  </si>
  <si>
    <t>Set up time (hrs.)</t>
  </si>
  <si>
    <t>a'[i-1]</t>
  </si>
  <si>
    <t>a[i]</t>
  </si>
  <si>
    <t>Φ (prob of fail)</t>
  </si>
  <si>
    <t>SYSTEM</t>
  </si>
  <si>
    <t>Φ'</t>
  </si>
  <si>
    <t>COMPLETION TIME</t>
  </si>
  <si>
    <t>Ai</t>
  </si>
  <si>
    <t>Ai"</t>
  </si>
  <si>
    <t>PM INTERVAL</t>
  </si>
  <si>
    <t>Job 2</t>
  </si>
  <si>
    <t>k1</t>
  </si>
  <si>
    <t>Tardiness</t>
  </si>
  <si>
    <t>M/C Fail</t>
  </si>
  <si>
    <t>M/C Not Fail</t>
  </si>
  <si>
    <t>Probability Distribution</t>
  </si>
  <si>
    <t>Job 3</t>
  </si>
  <si>
    <t>M/C Fail 2 times</t>
  </si>
  <si>
    <t>M/C Fail 1 time</t>
  </si>
  <si>
    <t>k2</t>
  </si>
  <si>
    <t>Job 1</t>
  </si>
  <si>
    <t>M/C Fail 3 times</t>
  </si>
  <si>
    <t>M/C Fail 2 time</t>
  </si>
  <si>
    <t>k3</t>
  </si>
  <si>
    <t>Penalty Costs</t>
  </si>
  <si>
    <t>Total Penalty Cost</t>
  </si>
  <si>
    <t>PM COSTS</t>
  </si>
  <si>
    <t>Total PM Cost</t>
  </si>
  <si>
    <t>Penalty Cost (rs./hr.)</t>
  </si>
  <si>
    <t>Processing time of job (min)</t>
  </si>
  <si>
    <t>Set up time        (hrs.)</t>
  </si>
  <si>
    <t>Total Processing Time (hrs.)</t>
  </si>
  <si>
    <t>Inventory Carrying Cost (rs./job/hr.)</t>
  </si>
  <si>
    <t>M1</t>
  </si>
  <si>
    <t xml:space="preserve"> SCHEDULING INPUT DATA</t>
  </si>
  <si>
    <r>
      <t>MEAN MTTR</t>
    </r>
    <r>
      <rPr>
        <b/>
        <vertAlign val="subscript"/>
        <sz val="11"/>
        <color theme="1"/>
        <rFont val="Calibri"/>
        <family val="2"/>
        <scheme val="minor"/>
      </rPr>
      <t>CM</t>
    </r>
    <r>
      <rPr>
        <b/>
        <sz val="11"/>
        <color theme="1"/>
        <rFont val="Calibri"/>
        <family val="2"/>
        <scheme val="minor"/>
      </rPr>
      <t xml:space="preserve"> </t>
    </r>
  </si>
  <si>
    <r>
      <t>MEAN FC</t>
    </r>
    <r>
      <rPr>
        <b/>
        <vertAlign val="subscript"/>
        <sz val="11"/>
        <color theme="1"/>
        <rFont val="Calibri"/>
        <family val="2"/>
        <scheme val="minor"/>
      </rPr>
      <t>CM</t>
    </r>
    <r>
      <rPr>
        <b/>
        <sz val="11"/>
        <color theme="1"/>
        <rFont val="Calibri"/>
        <family val="2"/>
        <scheme val="minor"/>
      </rPr>
      <t xml:space="preserve">  </t>
    </r>
  </si>
  <si>
    <t>Batch 2</t>
  </si>
  <si>
    <t>Batch 3</t>
  </si>
  <si>
    <t>Batch 1</t>
  </si>
  <si>
    <t>CT B1</t>
  </si>
  <si>
    <t xml:space="preserve">Total </t>
  </si>
  <si>
    <t>Total Inventory Carrying Costs</t>
  </si>
  <si>
    <r>
      <t>E[CPUT]</t>
    </r>
    <r>
      <rPr>
        <b/>
        <vertAlign val="subscript"/>
        <sz val="16"/>
        <color theme="1"/>
        <rFont val="Calibri"/>
        <family val="2"/>
        <scheme val="minor"/>
      </rPr>
      <t>S+M</t>
    </r>
  </si>
  <si>
    <t>Job 4</t>
  </si>
  <si>
    <t>M/C Fail 4 times</t>
  </si>
  <si>
    <t>k4</t>
  </si>
  <si>
    <t xml:space="preserve">Penalty Cost </t>
  </si>
  <si>
    <t>Batch 4</t>
  </si>
  <si>
    <t>CT B2</t>
  </si>
  <si>
    <t>Inv. Costs</t>
  </si>
  <si>
    <t>Total</t>
  </si>
  <si>
    <t>INVENTORY CARRYING COSTS</t>
  </si>
  <si>
    <t>3-2-1-4</t>
  </si>
  <si>
    <t>3-2-4-1</t>
  </si>
  <si>
    <t>3-1-2-4</t>
  </si>
  <si>
    <t>3-1-4-2</t>
  </si>
  <si>
    <t>3-4-2-1</t>
  </si>
  <si>
    <t>3-4-1-2</t>
  </si>
  <si>
    <t>OPTIMAL SOLUTION</t>
  </si>
  <si>
    <t>Maintenance Results</t>
  </si>
  <si>
    <r>
      <t>E[CPUT]</t>
    </r>
    <r>
      <rPr>
        <vertAlign val="subscript"/>
        <sz val="11"/>
        <color theme="1"/>
        <rFont val="Calibri"/>
        <family val="2"/>
        <scheme val="minor"/>
      </rPr>
      <t>M</t>
    </r>
  </si>
  <si>
    <t>MONO GROUP</t>
  </si>
  <si>
    <t>EVIDENT GROUP</t>
  </si>
  <si>
    <t>CT B3</t>
  </si>
  <si>
    <t>CT B4</t>
  </si>
  <si>
    <t>OPTIMUM GROUP</t>
  </si>
  <si>
    <t>OPTIMUM GROUP PM INTERVALS</t>
  </si>
  <si>
    <t xml:space="preserve"> NO GROUP PM INTERVALS</t>
  </si>
  <si>
    <t xml:space="preserve"> EVIDENT GROUP PM INTERVALS</t>
  </si>
  <si>
    <t>Total CM Cost</t>
  </si>
  <si>
    <t xml:space="preserve">CM COST </t>
  </si>
  <si>
    <t>1-3-2-4</t>
  </si>
  <si>
    <t>1-3-4-2</t>
  </si>
  <si>
    <t>1-2-3-4</t>
  </si>
  <si>
    <t>1-2-4-3</t>
  </si>
  <si>
    <t xml:space="preserve">Probability Distribution </t>
  </si>
  <si>
    <t>1-4-2-3</t>
  </si>
  <si>
    <t>1-4-3-2</t>
  </si>
  <si>
    <t>2-1-3-4</t>
  </si>
  <si>
    <t>2-1-4-3</t>
  </si>
  <si>
    <t>2-3-1-4</t>
  </si>
  <si>
    <t>2-3-4-1</t>
  </si>
  <si>
    <t>2-4-1-3</t>
  </si>
  <si>
    <t>2-4-3-1</t>
  </si>
  <si>
    <t>4-1-2-3</t>
  </si>
  <si>
    <t>4-1-3-2</t>
  </si>
  <si>
    <t>4-2-1-3</t>
  </si>
  <si>
    <t>4-2-3-1</t>
  </si>
  <si>
    <t>4-3-1-2</t>
  </si>
  <si>
    <t>4-3-2-1</t>
  </si>
  <si>
    <t xml:space="preserve"> MONO GROUP PM INTERVALS</t>
  </si>
  <si>
    <t>Individual Cost Comparison</t>
  </si>
  <si>
    <t>No int</t>
  </si>
  <si>
    <t>Par_Int</t>
  </si>
  <si>
    <t>CMC</t>
  </si>
  <si>
    <t>CMC_PUT</t>
  </si>
  <si>
    <t>PMC</t>
  </si>
  <si>
    <t>PMC_PUT</t>
  </si>
  <si>
    <t>ICC</t>
  </si>
  <si>
    <t>ICC_PUT</t>
  </si>
  <si>
    <t>PC_PUT</t>
  </si>
  <si>
    <t>PC</t>
  </si>
  <si>
    <t>J1</t>
  </si>
  <si>
    <t>J2</t>
  </si>
  <si>
    <t>J3</t>
  </si>
  <si>
    <t>J4</t>
  </si>
  <si>
    <t>PENALTY COSTS DUE TO BATCH AND MAINTENANCE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</si>
</sst>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FF9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10" borderId="1" xfId="0" applyFill="1" applyBorder="1"/>
    <xf numFmtId="0" fontId="1" fillId="9" borderId="1" xfId="1" applyFill="1" applyBorder="1" applyAlignment="1">
      <alignment wrapText="1"/>
    </xf>
    <xf numFmtId="0" fontId="1" fillId="12" borderId="1" xfId="1" applyFill="1" applyBorder="1" applyAlignment="1">
      <alignment wrapText="1"/>
    </xf>
    <xf numFmtId="0" fontId="1" fillId="8" borderId="1" xfId="1" applyFill="1" applyBorder="1" applyAlignment="1">
      <alignment wrapText="1"/>
    </xf>
    <xf numFmtId="0" fontId="1" fillId="11" borderId="1" xfId="1" applyFill="1" applyBorder="1" applyAlignment="1">
      <alignment wrapText="1"/>
    </xf>
    <xf numFmtId="0" fontId="0" fillId="10" borderId="7" xfId="0" applyFill="1" applyBorder="1"/>
    <xf numFmtId="0" fontId="0" fillId="9" borderId="1" xfId="0" applyFill="1" applyBorder="1"/>
    <xf numFmtId="0" fontId="0" fillId="8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4" borderId="1" xfId="0" applyFill="1" applyBorder="1"/>
    <xf numFmtId="0" fontId="0" fillId="15" borderId="1" xfId="0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wrapText="1"/>
    </xf>
    <xf numFmtId="0" fontId="7" fillId="10" borderId="10" xfId="0" applyFont="1" applyFill="1" applyBorder="1"/>
    <xf numFmtId="0" fontId="0" fillId="10" borderId="12" xfId="0" applyFill="1" applyBorder="1"/>
    <xf numFmtId="0" fontId="7" fillId="10" borderId="17" xfId="0" applyFont="1" applyFill="1" applyBorder="1" applyAlignment="1">
      <alignment wrapText="1"/>
    </xf>
    <xf numFmtId="0" fontId="0" fillId="15" borderId="18" xfId="0" applyFill="1" applyBorder="1" applyAlignment="1">
      <alignment horizontal="center" vertical="center"/>
    </xf>
    <xf numFmtId="0" fontId="1" fillId="9" borderId="12" xfId="1" applyFill="1" applyBorder="1" applyAlignment="1">
      <alignment wrapText="1"/>
    </xf>
    <xf numFmtId="0" fontId="1" fillId="9" borderId="13" xfId="1" applyFill="1" applyBorder="1" applyAlignment="1">
      <alignment wrapText="1"/>
    </xf>
    <xf numFmtId="0" fontId="0" fillId="9" borderId="13" xfId="0" applyFill="1" applyBorder="1"/>
    <xf numFmtId="0" fontId="1" fillId="11" borderId="12" xfId="1" applyFill="1" applyBorder="1" applyAlignment="1">
      <alignment wrapText="1"/>
    </xf>
    <xf numFmtId="0" fontId="1" fillId="11" borderId="13" xfId="1" applyFill="1" applyBorder="1" applyAlignment="1">
      <alignment wrapText="1"/>
    </xf>
    <xf numFmtId="0" fontId="0" fillId="11" borderId="13" xfId="0" applyFill="1" applyBorder="1"/>
    <xf numFmtId="0" fontId="1" fillId="8" borderId="12" xfId="1" applyFill="1" applyBorder="1" applyAlignment="1">
      <alignment wrapText="1"/>
    </xf>
    <xf numFmtId="0" fontId="1" fillId="8" borderId="13" xfId="1" applyFill="1" applyBorder="1" applyAlignment="1">
      <alignment wrapText="1"/>
    </xf>
    <xf numFmtId="0" fontId="0" fillId="8" borderId="13" xfId="0" applyFill="1" applyBorder="1"/>
    <xf numFmtId="0" fontId="1" fillId="12" borderId="12" xfId="1" applyFill="1" applyBorder="1" applyAlignment="1">
      <alignment wrapText="1"/>
    </xf>
    <xf numFmtId="0" fontId="0" fillId="12" borderId="13" xfId="1" applyFont="1" applyFill="1" applyBorder="1" applyAlignment="1">
      <alignment wrapText="1"/>
    </xf>
    <xf numFmtId="0" fontId="0" fillId="12" borderId="13" xfId="0" applyFill="1" applyBorder="1"/>
    <xf numFmtId="0" fontId="1" fillId="13" borderId="12" xfId="1" applyFill="1" applyBorder="1" applyAlignment="1">
      <alignment wrapText="1"/>
    </xf>
    <xf numFmtId="0" fontId="1" fillId="13" borderId="13" xfId="1" applyFill="1" applyBorder="1" applyAlignment="1">
      <alignment horizontal="center" vertical="center" wrapText="1"/>
    </xf>
    <xf numFmtId="0" fontId="0" fillId="13" borderId="12" xfId="0" applyFill="1" applyBorder="1"/>
    <xf numFmtId="0" fontId="0" fillId="13" borderId="13" xfId="0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4" xfId="0" applyFill="1" applyBorder="1"/>
    <xf numFmtId="2" fontId="0" fillId="14" borderId="22" xfId="0" applyNumberFormat="1" applyFill="1" applyBorder="1"/>
    <xf numFmtId="2" fontId="0" fillId="10" borderId="1" xfId="0" applyNumberFormat="1" applyFill="1" applyBorder="1"/>
    <xf numFmtId="2" fontId="0" fillId="9" borderId="12" xfId="0" applyNumberFormat="1" applyFill="1" applyBorder="1"/>
    <xf numFmtId="2" fontId="0" fillId="9" borderId="1" xfId="0" applyNumberFormat="1" applyFill="1" applyBorder="1"/>
    <xf numFmtId="2" fontId="0" fillId="11" borderId="12" xfId="0" applyNumberFormat="1" applyFill="1" applyBorder="1"/>
    <xf numFmtId="2" fontId="0" fillId="11" borderId="1" xfId="0" applyNumberFormat="1" applyFill="1" applyBorder="1"/>
    <xf numFmtId="2" fontId="0" fillId="8" borderId="12" xfId="0" applyNumberFormat="1" applyFill="1" applyBorder="1"/>
    <xf numFmtId="2" fontId="0" fillId="8" borderId="1" xfId="0" applyNumberFormat="1" applyFill="1" applyBorder="1"/>
    <xf numFmtId="2" fontId="0" fillId="12" borderId="12" xfId="0" applyNumberFormat="1" applyFill="1" applyBorder="1"/>
    <xf numFmtId="2" fontId="0" fillId="12" borderId="1" xfId="0" applyNumberFormat="1" applyFill="1" applyBorder="1"/>
    <xf numFmtId="0" fontId="0" fillId="10" borderId="23" xfId="0" applyFill="1" applyBorder="1"/>
    <xf numFmtId="0" fontId="0" fillId="10" borderId="18" xfId="0" applyFill="1" applyBorder="1"/>
    <xf numFmtId="2" fontId="0" fillId="0" borderId="1" xfId="0" applyNumberFormat="1" applyBorder="1"/>
    <xf numFmtId="0" fontId="0" fillId="6" borderId="1" xfId="0" applyFill="1" applyBorder="1"/>
    <xf numFmtId="0" fontId="11" fillId="6" borderId="1" xfId="0" applyFont="1" applyFill="1" applyBorder="1"/>
    <xf numFmtId="0" fontId="11" fillId="6" borderId="1" xfId="0" applyFont="1" applyFill="1" applyBorder="1" applyAlignment="1">
      <alignment wrapText="1"/>
    </xf>
    <xf numFmtId="2" fontId="0" fillId="0" borderId="18" xfId="0" applyNumberFormat="1" applyBorder="1"/>
    <xf numFmtId="0" fontId="2" fillId="17" borderId="1" xfId="0" applyFont="1" applyFill="1" applyBorder="1" applyAlignment="1">
      <alignment wrapText="1"/>
    </xf>
    <xf numFmtId="0" fontId="12" fillId="17" borderId="1" xfId="0" applyFont="1" applyFill="1" applyBorder="1" applyAlignment="1">
      <alignment vertical="center"/>
    </xf>
    <xf numFmtId="2" fontId="0" fillId="10" borderId="18" xfId="0" applyNumberFormat="1" applyFill="1" applyBorder="1"/>
    <xf numFmtId="0" fontId="0" fillId="10" borderId="27" xfId="0" applyFill="1" applyBorder="1"/>
    <xf numFmtId="2" fontId="0" fillId="9" borderId="23" xfId="0" applyNumberFormat="1" applyFill="1" applyBorder="1"/>
    <xf numFmtId="2" fontId="0" fillId="9" borderId="18" xfId="0" applyNumberFormat="1" applyFill="1" applyBorder="1"/>
    <xf numFmtId="0" fontId="0" fillId="9" borderId="18" xfId="0" applyFill="1" applyBorder="1"/>
    <xf numFmtId="0" fontId="7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28" xfId="0" applyFill="1" applyBorder="1"/>
    <xf numFmtId="0" fontId="0" fillId="0" borderId="23" xfId="0" applyBorder="1"/>
    <xf numFmtId="0" fontId="0" fillId="0" borderId="18" xfId="0" applyBorder="1"/>
    <xf numFmtId="0" fontId="0" fillId="0" borderId="29" xfId="0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6" borderId="0" xfId="0" applyFill="1" applyBorder="1"/>
    <xf numFmtId="0" fontId="7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3" fillId="14" borderId="1" xfId="0" applyFont="1" applyFill="1" applyBorder="1" applyAlignment="1">
      <alignment wrapText="1"/>
    </xf>
    <xf numFmtId="2" fontId="0" fillId="0" borderId="1" xfId="0" applyNumberFormat="1" applyBorder="1" applyAlignment="1">
      <alignment wrapText="1"/>
    </xf>
    <xf numFmtId="0" fontId="0" fillId="13" borderId="1" xfId="0" applyFill="1" applyBorder="1" applyAlignment="1">
      <alignment wrapText="1"/>
    </xf>
    <xf numFmtId="0" fontId="11" fillId="19" borderId="1" xfId="0" applyFont="1" applyFill="1" applyBorder="1" applyAlignment="1">
      <alignment wrapText="1"/>
    </xf>
    <xf numFmtId="0" fontId="7" fillId="4" borderId="1" xfId="0" applyFont="1" applyFill="1" applyBorder="1" applyAlignment="1">
      <alignment horizontal="center" vertical="center" wrapText="1"/>
    </xf>
    <xf numFmtId="0" fontId="0" fillId="3" borderId="0" xfId="0" applyFill="1"/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2" fillId="15" borderId="1" xfId="0" applyFont="1" applyFill="1" applyBorder="1"/>
    <xf numFmtId="0" fontId="2" fillId="16" borderId="1" xfId="0" applyFont="1" applyFill="1" applyBorder="1" applyAlignment="1">
      <alignment wrapText="1"/>
    </xf>
    <xf numFmtId="0" fontId="4" fillId="16" borderId="1" xfId="0" applyFont="1" applyFill="1" applyBorder="1" applyAlignment="1">
      <alignment vertical="center"/>
    </xf>
    <xf numFmtId="0" fontId="7" fillId="4" borderId="1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" fontId="0" fillId="10" borderId="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49" fontId="3" fillId="0" borderId="0" xfId="0" applyNumberFormat="1" applyFont="1" applyBorder="1"/>
    <xf numFmtId="0" fontId="0" fillId="0" borderId="0" xfId="0" applyBorder="1"/>
    <xf numFmtId="0" fontId="0" fillId="0" borderId="0" xfId="0" applyFont="1" applyBorder="1"/>
    <xf numFmtId="0" fontId="2" fillId="3" borderId="30" xfId="0" applyFont="1" applyFill="1" applyBorder="1"/>
    <xf numFmtId="0" fontId="7" fillId="4" borderId="18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Fill="1" applyBorder="1"/>
    <xf numFmtId="0" fontId="0" fillId="0" borderId="0" xfId="0" applyAlignment="1"/>
    <xf numFmtId="0" fontId="0" fillId="4" borderId="1" xfId="0" applyFill="1" applyBorder="1" applyAlignment="1">
      <alignment horizontal="center" vertical="center" wrapText="1"/>
    </xf>
    <xf numFmtId="0" fontId="1" fillId="9" borderId="13" xfId="1" applyFill="1" applyBorder="1" applyAlignment="1">
      <alignment horizontal="center" vertical="center" wrapText="1"/>
    </xf>
    <xf numFmtId="0" fontId="1" fillId="11" borderId="13" xfId="1" applyFill="1" applyBorder="1" applyAlignment="1">
      <alignment horizontal="center" vertical="center" wrapText="1"/>
    </xf>
    <xf numFmtId="0" fontId="1" fillId="12" borderId="13" xfId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wrapText="1"/>
    </xf>
    <xf numFmtId="0" fontId="19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vertical="center"/>
    </xf>
    <xf numFmtId="0" fontId="7" fillId="21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vertical="top" wrapText="1"/>
    </xf>
    <xf numFmtId="0" fontId="0" fillId="21" borderId="1" xfId="0" applyFill="1" applyBorder="1"/>
    <xf numFmtId="0" fontId="7" fillId="21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2" fontId="0" fillId="3" borderId="1" xfId="0" applyNumberFormat="1" applyFill="1" applyBorder="1"/>
    <xf numFmtId="0" fontId="0" fillId="0" borderId="32" xfId="0" applyFill="1" applyBorder="1"/>
    <xf numFmtId="0" fontId="1" fillId="8" borderId="13" xfId="1" applyFill="1" applyBorder="1" applyAlignment="1">
      <alignment horizontal="center" vertical="center" wrapText="1"/>
    </xf>
    <xf numFmtId="9" fontId="0" fillId="0" borderId="1" xfId="2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2" fillId="18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0" fillId="20" borderId="5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3" borderId="19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11" fillId="14" borderId="19" xfId="0" applyFont="1" applyFill="1" applyBorder="1" applyAlignment="1">
      <alignment horizontal="center" vertical="center" wrapText="1"/>
    </xf>
    <xf numFmtId="0" fontId="11" fillId="14" borderId="22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 wrapText="1"/>
    </xf>
    <xf numFmtId="0" fontId="17" fillId="7" borderId="0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9" fillId="17" borderId="1" xfId="0" applyFont="1" applyFill="1" applyBorder="1" applyAlignment="1">
      <alignment horizontal="left" vertical="top" wrapText="1"/>
    </xf>
    <xf numFmtId="0" fontId="4" fillId="17" borderId="1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/>
    </xf>
  </cellXfs>
  <cellStyles count="3">
    <cellStyle name="40% - Accent5" xfId="1" builtinId="47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99"/>
      <color rgb="FFCCFFCC"/>
      <color rgb="FFCCCC00"/>
      <color rgb="FFCC99FF"/>
      <color rgb="FFFF33CC"/>
      <color rgb="FF00CC00"/>
      <color rgb="FFFF66FF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756853746575092"/>
          <c:y val="0.1161574074074074"/>
          <c:w val="0.65023381452318463"/>
          <c:h val="0.6700309857101195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'FINAL RESULTS'!$B$3</c:f>
              <c:strCache>
                <c:ptCount val="1"/>
                <c:pt idx="0">
                  <c:v>No 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'FINAL RESULTS'!$A$4:$A$6</c:f>
              <c:strCache>
                <c:ptCount val="3"/>
                <c:pt idx="0">
                  <c:v>No Integration</c:v>
                </c:pt>
                <c:pt idx="1">
                  <c:v>Partial Integration</c:v>
                </c:pt>
                <c:pt idx="2">
                  <c:v>Full Integration</c:v>
                </c:pt>
              </c:strCache>
            </c:strRef>
          </c:cat>
          <c:val>
            <c:numRef>
              <c:f>'FINAL RESULTS'!$B$4:$B$6</c:f>
              <c:numCache>
                <c:formatCode>General</c:formatCode>
                <c:ptCount val="3"/>
                <c:pt idx="0" formatCode="0.00">
                  <c:v>1284.7983083329964</c:v>
                </c:pt>
                <c:pt idx="1">
                  <c:v>1036.2897788555442</c:v>
                </c:pt>
                <c:pt idx="2">
                  <c:v>998.32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0-4428-A505-602EA3EC7845}"/>
            </c:ext>
          </c:extLst>
        </c:ser>
        <c:ser>
          <c:idx val="1"/>
          <c:order val="1"/>
          <c:tx>
            <c:strRef>
              <c:f>'FINAL RESULTS'!$C$3</c:f>
              <c:strCache>
                <c:ptCount val="1"/>
                <c:pt idx="0">
                  <c:v>Mono 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'FINAL RESULTS'!$A$4:$A$6</c:f>
              <c:strCache>
                <c:ptCount val="3"/>
                <c:pt idx="0">
                  <c:v>No Integration</c:v>
                </c:pt>
                <c:pt idx="1">
                  <c:v>Partial Integration</c:v>
                </c:pt>
                <c:pt idx="2">
                  <c:v>Full Integration</c:v>
                </c:pt>
              </c:strCache>
            </c:strRef>
          </c:cat>
          <c:val>
            <c:numRef>
              <c:f>'FINAL RESULTS'!$C$4:$C$6</c:f>
              <c:numCache>
                <c:formatCode>General</c:formatCode>
                <c:ptCount val="3"/>
                <c:pt idx="0" formatCode="0.00">
                  <c:v>965.33830833299635</c:v>
                </c:pt>
                <c:pt idx="1">
                  <c:v>956.28</c:v>
                </c:pt>
                <c:pt idx="2">
                  <c:v>955.58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0-4428-A505-602EA3EC7845}"/>
            </c:ext>
          </c:extLst>
        </c:ser>
        <c:ser>
          <c:idx val="2"/>
          <c:order val="2"/>
          <c:tx>
            <c:strRef>
              <c:f>'FINAL RESULTS'!$D$3</c:f>
              <c:strCache>
                <c:ptCount val="1"/>
                <c:pt idx="0">
                  <c:v>Evident Group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'FINAL RESULTS'!$A$4:$A$6</c:f>
              <c:strCache>
                <c:ptCount val="3"/>
                <c:pt idx="0">
                  <c:v>No Integration</c:v>
                </c:pt>
                <c:pt idx="1">
                  <c:v>Partial Integration</c:v>
                </c:pt>
                <c:pt idx="2">
                  <c:v>Full Integration</c:v>
                </c:pt>
              </c:strCache>
            </c:strRef>
          </c:cat>
          <c:val>
            <c:numRef>
              <c:f>'FINAL RESULTS'!$D$4:$D$6</c:f>
              <c:numCache>
                <c:formatCode>General</c:formatCode>
                <c:ptCount val="3"/>
                <c:pt idx="0" formatCode="0.00">
                  <c:v>992.81830833299637</c:v>
                </c:pt>
                <c:pt idx="1">
                  <c:v>921.32</c:v>
                </c:pt>
                <c:pt idx="2">
                  <c:v>872.33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0-4428-A505-602EA3EC7845}"/>
            </c:ext>
          </c:extLst>
        </c:ser>
        <c:ser>
          <c:idx val="3"/>
          <c:order val="3"/>
          <c:tx>
            <c:strRef>
              <c:f>'FINAL RESULTS'!$E$3</c:f>
              <c:strCache>
                <c:ptCount val="1"/>
                <c:pt idx="0">
                  <c:v>Optimum Group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'FINAL RESULTS'!$A$4:$A$6</c:f>
              <c:strCache>
                <c:ptCount val="3"/>
                <c:pt idx="0">
                  <c:v>No Integration</c:v>
                </c:pt>
                <c:pt idx="1">
                  <c:v>Partial Integration</c:v>
                </c:pt>
                <c:pt idx="2">
                  <c:v>Full Integration</c:v>
                </c:pt>
              </c:strCache>
            </c:strRef>
          </c:cat>
          <c:val>
            <c:numRef>
              <c:f>'FINAL RESULTS'!$E$4:$E$6</c:f>
              <c:numCache>
                <c:formatCode>General</c:formatCode>
                <c:ptCount val="3"/>
                <c:pt idx="0" formatCode="0.00">
                  <c:v>949.38830833299642</c:v>
                </c:pt>
                <c:pt idx="1">
                  <c:v>944.58</c:v>
                </c:pt>
                <c:pt idx="2">
                  <c:v>848.44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0-4428-A505-602EA3EC7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1990847"/>
        <c:axId val="1471985439"/>
        <c:axId val="0"/>
      </c:bar3DChart>
      <c:catAx>
        <c:axId val="147199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85439"/>
        <c:crosses val="autoZero"/>
        <c:auto val="1"/>
        <c:lblAlgn val="ctr"/>
        <c:lblOffset val="100"/>
        <c:noMultiLvlLbl val="0"/>
      </c:catAx>
      <c:valAx>
        <c:axId val="147198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E[CPUT]]s*m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9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RESULTS'!$A$25</c:f>
              <c:strCache>
                <c:ptCount val="1"/>
                <c:pt idx="0">
                  <c:v>No Integration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RESULTS'!$B$24:$E$24</c:f>
              <c:strCache>
                <c:ptCount val="4"/>
                <c:pt idx="0">
                  <c:v>No Group</c:v>
                </c:pt>
                <c:pt idx="1">
                  <c:v>Mono group</c:v>
                </c:pt>
                <c:pt idx="2">
                  <c:v>Evident Group</c:v>
                </c:pt>
                <c:pt idx="3">
                  <c:v>Optimum Group</c:v>
                </c:pt>
              </c:strCache>
            </c:strRef>
          </c:cat>
          <c:val>
            <c:numRef>
              <c:f>'FINAL RESULTS'!$B$25:$E$25</c:f>
              <c:numCache>
                <c:formatCode>0%</c:formatCode>
                <c:ptCount val="4"/>
                <c:pt idx="0">
                  <c:v>0.51430661959949586</c:v>
                </c:pt>
                <c:pt idx="1">
                  <c:v>0.13778028892201721</c:v>
                </c:pt>
                <c:pt idx="2">
                  <c:v>0.17016914376148731</c:v>
                </c:pt>
                <c:pt idx="3">
                  <c:v>0.11898108096388237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F-4C51-85DD-AC30994BA1A7}"/>
            </c:ext>
          </c:extLst>
        </c:ser>
        <c:ser>
          <c:idx val="1"/>
          <c:order val="1"/>
          <c:tx>
            <c:strRef>
              <c:f>'FINAL RESULTS'!$A$26</c:f>
              <c:strCache>
                <c:ptCount val="1"/>
                <c:pt idx="0">
                  <c:v>Partial Integration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RESULTS'!$B$24:$E$24</c:f>
              <c:strCache>
                <c:ptCount val="4"/>
                <c:pt idx="0">
                  <c:v>No Group</c:v>
                </c:pt>
                <c:pt idx="1">
                  <c:v>Mono group</c:v>
                </c:pt>
                <c:pt idx="2">
                  <c:v>Evident Group</c:v>
                </c:pt>
                <c:pt idx="3">
                  <c:v>Optimum Group</c:v>
                </c:pt>
              </c:strCache>
            </c:strRef>
          </c:cat>
          <c:val>
            <c:numRef>
              <c:f>'FINAL RESULTS'!$B$26:$E$26</c:f>
              <c:numCache>
                <c:formatCode>0%</c:formatCode>
                <c:ptCount val="4"/>
                <c:pt idx="0">
                  <c:v>0.22140608511567603</c:v>
                </c:pt>
                <c:pt idx="1">
                  <c:v>0.12710386120409212</c:v>
                </c:pt>
                <c:pt idx="2">
                  <c:v>8.5898826080807122E-2</c:v>
                </c:pt>
                <c:pt idx="3">
                  <c:v>0.11331384658903397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F-4C51-85DD-AC30994BA1A7}"/>
            </c:ext>
          </c:extLst>
        </c:ser>
        <c:ser>
          <c:idx val="2"/>
          <c:order val="2"/>
          <c:tx>
            <c:strRef>
              <c:f>'FINAL RESULTS'!$A$27</c:f>
              <c:strCache>
                <c:ptCount val="1"/>
                <c:pt idx="0">
                  <c:v>Full Integration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RESULTS'!$B$24:$E$24</c:f>
              <c:strCache>
                <c:ptCount val="4"/>
                <c:pt idx="0">
                  <c:v>No Group</c:v>
                </c:pt>
                <c:pt idx="1">
                  <c:v>Mono group</c:v>
                </c:pt>
                <c:pt idx="2">
                  <c:v>Evident Group</c:v>
                </c:pt>
                <c:pt idx="3">
                  <c:v>Optimum Group</c:v>
                </c:pt>
              </c:strCache>
            </c:strRef>
          </c:cat>
          <c:val>
            <c:numRef>
              <c:f>'FINAL RESULTS'!$B$27:$E$27</c:f>
              <c:numCache>
                <c:formatCode>0%</c:formatCode>
                <c:ptCount val="4"/>
                <c:pt idx="0">
                  <c:v>0.17665362312007918</c:v>
                </c:pt>
                <c:pt idx="1">
                  <c:v>0.12627881759464427</c:v>
                </c:pt>
                <c:pt idx="2">
                  <c:v>2.8157559756729979E-2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CF-4C51-85DD-AC30994BA1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9384128"/>
        <c:axId val="1249379136"/>
      </c:barChart>
      <c:catAx>
        <c:axId val="12493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9136"/>
        <c:crosses val="autoZero"/>
        <c:auto val="1"/>
        <c:lblAlgn val="ctr"/>
        <c:lblOffset val="100"/>
        <c:noMultiLvlLbl val="0"/>
      </c:catAx>
      <c:valAx>
        <c:axId val="12493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variation of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841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4</xdr:row>
      <xdr:rowOff>38100</xdr:rowOff>
    </xdr:from>
    <xdr:to>
      <xdr:col>15</xdr:col>
      <xdr:colOff>552450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228600</xdr:colOff>
      <xdr:row>11</xdr:row>
      <xdr:rowOff>66675</xdr:rowOff>
    </xdr:from>
    <xdr:to>
      <xdr:col>23</xdr:col>
      <xdr:colOff>533400</xdr:colOff>
      <xdr:row>24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tabSelected="1" workbookViewId="0">
      <selection activeCell="O1" sqref="O1:V7"/>
    </sheetView>
  </sheetViews>
  <sheetFormatPr defaultRowHeight="15" x14ac:dyDescent="0.25"/>
  <cols>
    <col min="1" max="1" width="9.28515625" customWidth="1"/>
    <col min="2" max="2" width="12" bestFit="1" customWidth="1"/>
    <col min="3" max="3" width="9.85546875" customWidth="1"/>
    <col min="4" max="4" width="8.42578125" customWidth="1"/>
    <col min="5" max="5" width="12" bestFit="1" customWidth="1"/>
    <col min="6" max="6" width="12" customWidth="1"/>
    <col min="7" max="7" width="11.5703125" bestFit="1" customWidth="1"/>
    <col min="8" max="8" width="12" bestFit="1" customWidth="1"/>
    <col min="9" max="9" width="16.28515625" customWidth="1"/>
    <col min="10" max="10" width="12.42578125" customWidth="1"/>
    <col min="11" max="11" width="12.5703125" bestFit="1" customWidth="1"/>
    <col min="12" max="12" width="14.42578125" customWidth="1"/>
    <col min="13" max="13" width="13.42578125" customWidth="1"/>
    <col min="14" max="16" width="12" bestFit="1" customWidth="1"/>
    <col min="17" max="17" width="12.28515625" customWidth="1"/>
    <col min="18" max="18" width="14.140625" customWidth="1"/>
    <col min="19" max="19" width="15.5703125" customWidth="1"/>
    <col min="20" max="20" width="12" bestFit="1" customWidth="1"/>
    <col min="21" max="21" width="14.28515625" bestFit="1" customWidth="1"/>
    <col min="22" max="22" width="7.85546875" customWidth="1"/>
    <col min="23" max="23" width="6.5703125" bestFit="1" customWidth="1"/>
    <col min="24" max="28" width="12" bestFit="1" customWidth="1"/>
    <col min="29" max="29" width="10.28515625" customWidth="1"/>
    <col min="30" max="33" width="3.140625" bestFit="1" customWidth="1"/>
  </cols>
  <sheetData>
    <row r="1" spans="1:34" ht="19.5" customHeight="1" x14ac:dyDescent="0.35">
      <c r="A1" s="165" t="s">
        <v>14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O1" s="166" t="s">
        <v>72</v>
      </c>
      <c r="P1" s="166"/>
      <c r="Q1" s="166"/>
      <c r="R1" s="166"/>
      <c r="S1" s="166"/>
      <c r="T1" s="166"/>
      <c r="U1" s="166"/>
      <c r="V1" s="166"/>
    </row>
    <row r="2" spans="1:34" ht="60" x14ac:dyDescent="0.25">
      <c r="A2" s="4" t="s">
        <v>15</v>
      </c>
      <c r="B2" s="4" t="s">
        <v>16</v>
      </c>
      <c r="C2" s="4" t="s">
        <v>31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6" t="s">
        <v>25</v>
      </c>
      <c r="M2" s="6" t="s">
        <v>26</v>
      </c>
      <c r="N2" s="8"/>
      <c r="O2" s="167" t="s">
        <v>32</v>
      </c>
      <c r="P2" s="167" t="s">
        <v>35</v>
      </c>
      <c r="Q2" s="167" t="s">
        <v>66</v>
      </c>
      <c r="R2" s="91" t="s">
        <v>67</v>
      </c>
      <c r="S2" s="91" t="s">
        <v>68</v>
      </c>
      <c r="T2" s="167" t="s">
        <v>69</v>
      </c>
      <c r="U2" s="71" t="s">
        <v>33</v>
      </c>
      <c r="V2" s="91" t="s">
        <v>70</v>
      </c>
    </row>
    <row r="3" spans="1:34" x14ac:dyDescent="0.25">
      <c r="A3" s="3" t="s">
        <v>27</v>
      </c>
      <c r="B3" s="3">
        <v>0</v>
      </c>
      <c r="C3" s="3">
        <v>0.3</v>
      </c>
      <c r="D3" s="3">
        <v>243</v>
      </c>
      <c r="E3" s="3">
        <v>1.73</v>
      </c>
      <c r="F3" s="3">
        <v>5</v>
      </c>
      <c r="G3" s="169">
        <v>12</v>
      </c>
      <c r="H3" s="3">
        <v>1820</v>
      </c>
      <c r="I3" s="169">
        <v>19645</v>
      </c>
      <c r="J3" s="3">
        <v>20</v>
      </c>
      <c r="K3" s="3">
        <v>40</v>
      </c>
      <c r="L3" s="3">
        <v>500</v>
      </c>
      <c r="M3" s="3">
        <v>1000</v>
      </c>
      <c r="O3" s="168"/>
      <c r="P3" s="168"/>
      <c r="Q3" s="168"/>
      <c r="R3" s="72" t="s">
        <v>71</v>
      </c>
      <c r="S3" s="72" t="s">
        <v>71</v>
      </c>
      <c r="T3" s="168"/>
      <c r="U3" s="73">
        <v>500</v>
      </c>
      <c r="V3" s="3">
        <v>1.5</v>
      </c>
    </row>
    <row r="4" spans="1:34" x14ac:dyDescent="0.25">
      <c r="A4" s="3" t="s">
        <v>28</v>
      </c>
      <c r="B4" s="3">
        <v>0</v>
      </c>
      <c r="C4" s="3">
        <v>0.3</v>
      </c>
      <c r="D4" s="3">
        <v>254</v>
      </c>
      <c r="E4" s="3">
        <v>1.88</v>
      </c>
      <c r="F4" s="3">
        <v>3</v>
      </c>
      <c r="G4" s="170"/>
      <c r="H4" s="3">
        <v>2720</v>
      </c>
      <c r="I4" s="170"/>
      <c r="J4" s="5"/>
      <c r="K4" s="5"/>
      <c r="L4" s="5"/>
      <c r="M4" s="5"/>
      <c r="O4" s="74">
        <v>1</v>
      </c>
      <c r="P4" s="74">
        <v>106</v>
      </c>
      <c r="Q4" s="74">
        <v>110</v>
      </c>
      <c r="R4" s="74">
        <v>6</v>
      </c>
      <c r="S4" s="74">
        <v>5</v>
      </c>
      <c r="T4" s="74">
        <f>R4*$U$3/60+S4</f>
        <v>55</v>
      </c>
      <c r="U4" s="75"/>
      <c r="X4" s="20">
        <v>126</v>
      </c>
      <c r="Y4" s="26">
        <v>91</v>
      </c>
      <c r="Z4" s="26">
        <v>67</v>
      </c>
      <c r="AA4" s="26">
        <v>201</v>
      </c>
      <c r="AC4" s="43">
        <v>0</v>
      </c>
      <c r="AD4" s="1">
        <v>0</v>
      </c>
      <c r="AE4" s="1">
        <v>0</v>
      </c>
      <c r="AF4" s="1">
        <v>0</v>
      </c>
    </row>
    <row r="5" spans="1:34" x14ac:dyDescent="0.25">
      <c r="A5" s="3" t="s">
        <v>29</v>
      </c>
      <c r="B5" s="3">
        <v>0</v>
      </c>
      <c r="C5" s="3">
        <v>0.3</v>
      </c>
      <c r="D5" s="3">
        <v>143</v>
      </c>
      <c r="E5" s="3">
        <v>2.4300000000000002</v>
      </c>
      <c r="F5" s="3">
        <v>8</v>
      </c>
      <c r="G5" s="170"/>
      <c r="H5" s="3">
        <v>3700</v>
      </c>
      <c r="I5" s="170"/>
      <c r="J5" s="5"/>
      <c r="K5" s="140" t="s">
        <v>73</v>
      </c>
      <c r="L5" s="141">
        <v>12</v>
      </c>
      <c r="M5" s="140" t="s">
        <v>74</v>
      </c>
      <c r="N5" s="141">
        <v>19645</v>
      </c>
      <c r="O5" s="74">
        <v>2</v>
      </c>
      <c r="P5" s="74">
        <v>76</v>
      </c>
      <c r="Q5" s="74">
        <v>40</v>
      </c>
      <c r="R5" s="74">
        <v>9</v>
      </c>
      <c r="S5" s="74">
        <v>2</v>
      </c>
      <c r="T5" s="74">
        <f t="shared" ref="T5:T7" si="0">R5*$U$3/60+S5</f>
        <v>77</v>
      </c>
      <c r="U5" s="75"/>
      <c r="X5">
        <f>X4*AC5+X4</f>
        <v>126</v>
      </c>
      <c r="Y5">
        <f t="shared" ref="Y5:AA5" si="1">Y4*AD5+Y4</f>
        <v>91</v>
      </c>
      <c r="Z5">
        <f t="shared" si="1"/>
        <v>134</v>
      </c>
      <c r="AA5">
        <f t="shared" si="1"/>
        <v>201</v>
      </c>
      <c r="AC5" s="43">
        <v>0</v>
      </c>
      <c r="AD5" s="1">
        <v>0</v>
      </c>
      <c r="AE5" s="1">
        <v>1</v>
      </c>
      <c r="AF5" s="1">
        <v>0</v>
      </c>
    </row>
    <row r="6" spans="1:34" x14ac:dyDescent="0.25">
      <c r="A6" s="3" t="s">
        <v>30</v>
      </c>
      <c r="B6" s="3">
        <v>0</v>
      </c>
      <c r="C6" s="3">
        <v>0.3</v>
      </c>
      <c r="D6" s="3">
        <v>449</v>
      </c>
      <c r="E6" s="3">
        <v>2.5299999999999998</v>
      </c>
      <c r="F6" s="3">
        <v>4</v>
      </c>
      <c r="G6" s="171"/>
      <c r="H6" s="3">
        <v>4320</v>
      </c>
      <c r="I6" s="171"/>
      <c r="J6" s="5"/>
      <c r="K6" s="140"/>
      <c r="L6" s="141"/>
      <c r="M6" s="140"/>
      <c r="N6" s="141"/>
      <c r="O6" s="74">
        <v>3</v>
      </c>
      <c r="P6" s="74">
        <v>95</v>
      </c>
      <c r="Q6" s="74">
        <v>67</v>
      </c>
      <c r="R6" s="74">
        <v>5</v>
      </c>
      <c r="S6" s="74">
        <v>4</v>
      </c>
      <c r="T6" s="74">
        <f t="shared" si="0"/>
        <v>45.666666666666664</v>
      </c>
      <c r="U6" s="75"/>
      <c r="X6">
        <f t="shared" ref="X6:X8" si="2">X5*AC6+X5</f>
        <v>252</v>
      </c>
      <c r="Y6">
        <f t="shared" ref="Y6:Y8" si="3">Y5*AD6+Y5</f>
        <v>182</v>
      </c>
      <c r="Z6">
        <f t="shared" ref="Z6:Z8" si="4">Z5*AE6+Z5</f>
        <v>268</v>
      </c>
      <c r="AA6">
        <f t="shared" ref="AA6:AA8" si="5">AA5*AF6+AA5</f>
        <v>201</v>
      </c>
      <c r="AC6" s="77">
        <v>1</v>
      </c>
      <c r="AD6" s="78">
        <v>1</v>
      </c>
      <c r="AE6" s="78">
        <v>1</v>
      </c>
      <c r="AF6" s="78">
        <v>0</v>
      </c>
    </row>
    <row r="7" spans="1:34" ht="15.75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O7" s="74">
        <v>4</v>
      </c>
      <c r="P7" s="74">
        <v>140</v>
      </c>
      <c r="Q7" s="94">
        <v>85</v>
      </c>
      <c r="R7" s="94">
        <v>8</v>
      </c>
      <c r="S7" s="94">
        <v>3</v>
      </c>
      <c r="T7" s="74">
        <f t="shared" si="0"/>
        <v>69.666666666666671</v>
      </c>
      <c r="X7">
        <f t="shared" si="2"/>
        <v>504</v>
      </c>
      <c r="Y7">
        <f t="shared" si="3"/>
        <v>364</v>
      </c>
      <c r="Z7">
        <f t="shared" si="4"/>
        <v>536</v>
      </c>
      <c r="AA7">
        <f t="shared" si="5"/>
        <v>402</v>
      </c>
      <c r="AC7" s="80">
        <v>1</v>
      </c>
      <c r="AD7" s="45">
        <v>1</v>
      </c>
      <c r="AE7" s="81">
        <v>1</v>
      </c>
      <c r="AF7" s="45">
        <v>1</v>
      </c>
    </row>
    <row r="8" spans="1:34" ht="15.75" customHeight="1" x14ac:dyDescent="0.25">
      <c r="A8" s="142" t="s">
        <v>36</v>
      </c>
      <c r="B8" s="144" t="s">
        <v>106</v>
      </c>
      <c r="C8" s="144"/>
      <c r="D8" s="144"/>
      <c r="E8" s="144"/>
      <c r="F8" s="20" t="s">
        <v>27</v>
      </c>
      <c r="G8" s="20" t="s">
        <v>28</v>
      </c>
      <c r="H8" s="20" t="s">
        <v>29</v>
      </c>
      <c r="I8" s="20" t="s">
        <v>30</v>
      </c>
      <c r="X8">
        <f t="shared" si="2"/>
        <v>504</v>
      </c>
      <c r="Y8">
        <f t="shared" si="3"/>
        <v>364</v>
      </c>
      <c r="Z8">
        <f t="shared" si="4"/>
        <v>536</v>
      </c>
      <c r="AA8">
        <f t="shared" si="5"/>
        <v>402</v>
      </c>
    </row>
    <row r="9" spans="1:34" ht="15.75" customHeight="1" thickBot="1" x14ac:dyDescent="0.3">
      <c r="A9" s="143"/>
      <c r="B9" s="145"/>
      <c r="C9" s="145"/>
      <c r="D9" s="145"/>
      <c r="E9" s="145"/>
      <c r="F9" s="20">
        <v>126</v>
      </c>
      <c r="G9" s="26">
        <v>91</v>
      </c>
      <c r="H9" s="26">
        <v>67</v>
      </c>
      <c r="I9" s="26">
        <v>201</v>
      </c>
    </row>
    <row r="10" spans="1:34" ht="15.75" customHeight="1" thickBot="1" x14ac:dyDescent="0.3">
      <c r="A10" s="143"/>
      <c r="B10" s="145"/>
      <c r="C10" s="145"/>
      <c r="D10" s="145"/>
      <c r="E10" s="145"/>
      <c r="F10" s="7"/>
      <c r="G10" s="146" t="s">
        <v>27</v>
      </c>
      <c r="H10" s="147"/>
      <c r="I10" s="147"/>
      <c r="J10" s="147"/>
      <c r="K10" s="148"/>
      <c r="L10" s="149" t="s">
        <v>28</v>
      </c>
      <c r="M10" s="150"/>
      <c r="N10" s="150"/>
      <c r="O10" s="150"/>
      <c r="P10" s="151"/>
      <c r="Q10" s="152" t="s">
        <v>29</v>
      </c>
      <c r="R10" s="153"/>
      <c r="S10" s="153"/>
      <c r="T10" s="153"/>
      <c r="U10" s="154"/>
      <c r="V10" s="155" t="s">
        <v>30</v>
      </c>
      <c r="W10" s="156"/>
      <c r="X10" s="156"/>
      <c r="Y10" s="156"/>
      <c r="Z10" s="157"/>
      <c r="AA10" s="158" t="s">
        <v>42</v>
      </c>
      <c r="AB10" s="159"/>
      <c r="AC10" s="160" t="s">
        <v>44</v>
      </c>
      <c r="AD10" s="162" t="s">
        <v>47</v>
      </c>
      <c r="AE10" s="163"/>
      <c r="AF10" s="163"/>
      <c r="AG10" s="164"/>
      <c r="AH10" s="138" t="s">
        <v>62</v>
      </c>
    </row>
    <row r="11" spans="1:34" ht="36.75" x14ac:dyDescent="0.25">
      <c r="A11" s="21" t="s">
        <v>32</v>
      </c>
      <c r="B11" s="22" t="s">
        <v>37</v>
      </c>
      <c r="C11" s="23" t="s">
        <v>33</v>
      </c>
      <c r="D11" s="22" t="s">
        <v>38</v>
      </c>
      <c r="E11" s="22" t="s">
        <v>34</v>
      </c>
      <c r="F11" s="25" t="s">
        <v>35</v>
      </c>
      <c r="G11" s="27" t="s">
        <v>39</v>
      </c>
      <c r="H11" s="10" t="s">
        <v>40</v>
      </c>
      <c r="I11" s="10" t="s">
        <v>45</v>
      </c>
      <c r="J11" s="10" t="s">
        <v>46</v>
      </c>
      <c r="K11" s="111" t="s">
        <v>43</v>
      </c>
      <c r="L11" s="30" t="s">
        <v>39</v>
      </c>
      <c r="M11" s="13" t="s">
        <v>40</v>
      </c>
      <c r="N11" s="13" t="s">
        <v>45</v>
      </c>
      <c r="O11" s="13" t="s">
        <v>46</v>
      </c>
      <c r="P11" s="112" t="s">
        <v>43</v>
      </c>
      <c r="Q11" s="33" t="s">
        <v>39</v>
      </c>
      <c r="R11" s="12" t="s">
        <v>40</v>
      </c>
      <c r="S11" s="12" t="s">
        <v>45</v>
      </c>
      <c r="T11" s="12" t="s">
        <v>46</v>
      </c>
      <c r="U11" s="126" t="s">
        <v>43</v>
      </c>
      <c r="V11" s="36" t="s">
        <v>39</v>
      </c>
      <c r="W11" s="11" t="s">
        <v>40</v>
      </c>
      <c r="X11" s="11" t="s">
        <v>45</v>
      </c>
      <c r="Y11" s="11" t="s">
        <v>46</v>
      </c>
      <c r="Z11" s="113" t="s">
        <v>43</v>
      </c>
      <c r="AA11" s="39" t="s">
        <v>41</v>
      </c>
      <c r="AB11" s="40" t="s">
        <v>43</v>
      </c>
      <c r="AC11" s="161"/>
      <c r="AD11" s="43" t="s">
        <v>27</v>
      </c>
      <c r="AE11" s="1" t="s">
        <v>28</v>
      </c>
      <c r="AF11" s="1" t="s">
        <v>29</v>
      </c>
      <c r="AG11" s="1" t="s">
        <v>30</v>
      </c>
      <c r="AH11" s="139"/>
    </row>
    <row r="12" spans="1:34" x14ac:dyDescent="0.25">
      <c r="A12" s="24">
        <v>3</v>
      </c>
      <c r="B12" s="9">
        <v>5</v>
      </c>
      <c r="C12" s="9">
        <v>500</v>
      </c>
      <c r="D12" s="9">
        <v>4</v>
      </c>
      <c r="E12" s="48">
        <f>B12*C12/60+D12</f>
        <v>45.666666666666664</v>
      </c>
      <c r="F12" s="14">
        <v>95</v>
      </c>
      <c r="G12" s="49">
        <f>B$3*(1-AD12*C$3)</f>
        <v>0</v>
      </c>
      <c r="H12" s="50">
        <f>G12+E12</f>
        <v>45.666666666666664</v>
      </c>
      <c r="I12" s="15">
        <f>(H12/D$3)^E$3</f>
        <v>5.5463587496332782E-2</v>
      </c>
      <c r="J12" s="15">
        <f>(G12/D$3)^E$3</f>
        <v>0</v>
      </c>
      <c r="K12" s="29">
        <f>EXP(J12-I12)</f>
        <v>0.94604647096386807</v>
      </c>
      <c r="L12" s="51">
        <f>B$4*(1-AE12*C$4)</f>
        <v>0</v>
      </c>
      <c r="M12" s="52">
        <f>L12+E12</f>
        <v>45.666666666666664</v>
      </c>
      <c r="N12" s="17">
        <f>(M12/D$4)^E$4</f>
        <v>3.9715434673642101E-2</v>
      </c>
      <c r="O12" s="17">
        <f>(L12/D$4)^E$4</f>
        <v>0</v>
      </c>
      <c r="P12" s="32">
        <f>EXP(O12-N12)</f>
        <v>0.96106288541745444</v>
      </c>
      <c r="Q12" s="53">
        <f>B$5*(1-AF12*C$5)</f>
        <v>0</v>
      </c>
      <c r="R12" s="54">
        <f>Q12+E12</f>
        <v>45.666666666666664</v>
      </c>
      <c r="S12" s="16">
        <f>(R12/D$5)^E$5</f>
        <v>6.2425173515745024E-2</v>
      </c>
      <c r="T12" s="16">
        <f>(Q12/D$5)^E$5</f>
        <v>0</v>
      </c>
      <c r="U12" s="35">
        <f>EXP(T12-S12)</f>
        <v>0.93948335842018305</v>
      </c>
      <c r="V12" s="55">
        <f>B$6*(1-AG12*C$6)</f>
        <v>0</v>
      </c>
      <c r="W12" s="56">
        <f>V12+E12</f>
        <v>45.666666666666664</v>
      </c>
      <c r="X12" s="18">
        <f>(W12/D$6)^E$6</f>
        <v>3.0803709406480337E-3</v>
      </c>
      <c r="Y12" s="18">
        <f>(V12/D$6)^E$6</f>
        <v>0</v>
      </c>
      <c r="Z12" s="38">
        <f>EXP(Y12-X12)</f>
        <v>0.99692436853422217</v>
      </c>
      <c r="AA12" s="41">
        <f>1-K12*P12*U12*Z12</f>
        <v>0.14843936060744001</v>
      </c>
      <c r="AB12" s="42">
        <f>1-AA12</f>
        <v>0.85156063939255999</v>
      </c>
      <c r="AC12" s="47">
        <f>(AD12*F$3+AE12*F$4+AF12*F$5+AG12*F$6)+E12</f>
        <v>45.666666666666664</v>
      </c>
      <c r="AD12" s="43">
        <v>0</v>
      </c>
      <c r="AE12" s="1">
        <v>0</v>
      </c>
      <c r="AF12" s="1">
        <v>0</v>
      </c>
      <c r="AG12" s="1">
        <v>0</v>
      </c>
      <c r="AH12" s="44">
        <v>67</v>
      </c>
    </row>
    <row r="13" spans="1:34" x14ac:dyDescent="0.25">
      <c r="A13" s="24">
        <v>1</v>
      </c>
      <c r="B13" s="9">
        <v>6</v>
      </c>
      <c r="C13" s="9">
        <v>500</v>
      </c>
      <c r="D13" s="9">
        <v>5</v>
      </c>
      <c r="E13" s="9">
        <f t="shared" ref="E13:E15" si="6">B13*C13/60+D13</f>
        <v>55</v>
      </c>
      <c r="F13" s="14">
        <v>106</v>
      </c>
      <c r="G13" s="49">
        <f>H12*(1-AD13*C$3)</f>
        <v>45.666666666666664</v>
      </c>
      <c r="H13" s="50">
        <f>G13+E13</f>
        <v>100.66666666666666</v>
      </c>
      <c r="I13" s="15">
        <f>(H13/D$3)^E$3</f>
        <v>0.21771752434165836</v>
      </c>
      <c r="J13" s="15">
        <f>(G13/D$3)^E$3</f>
        <v>5.5463587496332782E-2</v>
      </c>
      <c r="K13" s="29">
        <f t="shared" ref="K13:K15" si="7">EXP(J13-I13)</f>
        <v>0.85022527360118827</v>
      </c>
      <c r="L13" s="51">
        <f>M12*(1-AE13*C$4)</f>
        <v>31.966666666666661</v>
      </c>
      <c r="M13" s="52">
        <f>L13+E13</f>
        <v>86.966666666666669</v>
      </c>
      <c r="N13" s="17">
        <f>(M13/D$4)^E$4</f>
        <v>0.13332018959183325</v>
      </c>
      <c r="O13" s="17">
        <f>(L13/D$4)^E$4</f>
        <v>2.031157661785336E-2</v>
      </c>
      <c r="P13" s="32">
        <f t="shared" ref="P13:P15" si="8">EXP(O13-N13)</f>
        <v>0.89314296746574817</v>
      </c>
      <c r="Q13" s="53">
        <f>R12*(1-AF13*C$5)</f>
        <v>31.966666666666661</v>
      </c>
      <c r="R13" s="54">
        <f>Q13+E13</f>
        <v>86.966666666666669</v>
      </c>
      <c r="S13" s="16">
        <f>(R13/D$5)^E$5</f>
        <v>0.29864881248498298</v>
      </c>
      <c r="T13" s="16">
        <f>(Q13/D$5)^E$5</f>
        <v>2.6239043252001361E-2</v>
      </c>
      <c r="U13" s="35">
        <f t="shared" ref="U13:U15" si="9">EXP(T13-S13)</f>
        <v>0.76154214060667991</v>
      </c>
      <c r="V13" s="55">
        <f>W12*(1-AG13*C$6)</f>
        <v>45.666666666666664</v>
      </c>
      <c r="W13" s="56">
        <f>V13+E13</f>
        <v>100.66666666666666</v>
      </c>
      <c r="X13" s="18">
        <f>(W13/D$6)^E$6</f>
        <v>2.275713304339216E-2</v>
      </c>
      <c r="Y13" s="18">
        <f>(V13/D$6)^E$6</f>
        <v>3.0803709406480337E-3</v>
      </c>
      <c r="Z13" s="38">
        <f t="shared" ref="Z13:Z15" si="10">EXP(Y13-X13)</f>
        <v>0.98051556187724642</v>
      </c>
      <c r="AA13" s="41">
        <f t="shared" ref="AA13:AA15" si="11">1-K13*P13*U13*Z13</f>
        <v>0.43297341042222404</v>
      </c>
      <c r="AB13" s="42">
        <f>1-AA13</f>
        <v>0.56702658957777596</v>
      </c>
      <c r="AC13" s="47">
        <f>AF13*F$5+E13+AC12</f>
        <v>108.66666666666666</v>
      </c>
      <c r="AD13" s="43">
        <v>0</v>
      </c>
      <c r="AE13" s="1">
        <v>1</v>
      </c>
      <c r="AF13" s="1">
        <v>1</v>
      </c>
      <c r="AG13" s="1">
        <v>0</v>
      </c>
      <c r="AH13" s="44">
        <v>110</v>
      </c>
    </row>
    <row r="14" spans="1:34" x14ac:dyDescent="0.25">
      <c r="A14" s="57">
        <v>2</v>
      </c>
      <c r="B14" s="58">
        <v>9</v>
      </c>
      <c r="C14" s="58">
        <v>500</v>
      </c>
      <c r="D14" s="58">
        <v>2</v>
      </c>
      <c r="E14" s="66">
        <f t="shared" si="6"/>
        <v>77</v>
      </c>
      <c r="F14" s="67">
        <v>76</v>
      </c>
      <c r="G14" s="68">
        <f>H13*(1-AD14*C$3)</f>
        <v>70.466666666666654</v>
      </c>
      <c r="H14" s="69">
        <f>G14+E14</f>
        <v>147.46666666666664</v>
      </c>
      <c r="I14" s="70">
        <f>(H14/D$3)^E$3</f>
        <v>0.42144560641664969</v>
      </c>
      <c r="J14" s="70">
        <f>(G14/D$3)^E$3</f>
        <v>0.11746622079432449</v>
      </c>
      <c r="K14" s="29">
        <f t="shared" si="7"/>
        <v>0.73787607714994263</v>
      </c>
      <c r="L14" s="51">
        <f>M13*(1-AE14*C$4)</f>
        <v>60.876666666666665</v>
      </c>
      <c r="M14" s="52">
        <f>L14+E14</f>
        <v>137.87666666666667</v>
      </c>
      <c r="N14" s="17">
        <f>(M14/D$4)^E$4</f>
        <v>0.31707008589367913</v>
      </c>
      <c r="O14" s="17">
        <f>(L14/D$4)^E$4</f>
        <v>6.8183648696118551E-2</v>
      </c>
      <c r="P14" s="32">
        <f t="shared" si="8"/>
        <v>0.77966850969832435</v>
      </c>
      <c r="Q14" s="53">
        <f>R13*(1-AF14*C$5)</f>
        <v>60.876666666666665</v>
      </c>
      <c r="R14" s="54">
        <f>Q14+E14</f>
        <v>137.87666666666667</v>
      </c>
      <c r="S14" s="16">
        <f>(R14/D$5)^E$5</f>
        <v>0.91515785746077072</v>
      </c>
      <c r="T14" s="16">
        <f>(Q14/D$5)^E$5</f>
        <v>0.12553043374362163</v>
      </c>
      <c r="U14" s="35">
        <f t="shared" si="9"/>
        <v>0.45401391859288415</v>
      </c>
      <c r="V14" s="55">
        <f>W13*(1-AG14*C$6)</f>
        <v>70.466666666666654</v>
      </c>
      <c r="W14" s="56">
        <f>V14+E14</f>
        <v>147.46666666666664</v>
      </c>
      <c r="X14" s="18">
        <f>(W14/D$6)^E$6</f>
        <v>5.9787753062133631E-2</v>
      </c>
      <c r="Y14" s="18">
        <f>(V14/D$6)^E$6</f>
        <v>9.230295179589924E-3</v>
      </c>
      <c r="Z14" s="38">
        <f t="shared" si="10"/>
        <v>0.95069930193414864</v>
      </c>
      <c r="AA14" s="41">
        <f t="shared" si="11"/>
        <v>0.75168339263201178</v>
      </c>
      <c r="AB14" s="42">
        <f>1-AA14</f>
        <v>0.24831660736798822</v>
      </c>
      <c r="AC14" s="47">
        <f>(AF14*F$5)+E14+AC13</f>
        <v>193.66666666666666</v>
      </c>
      <c r="AD14" s="77">
        <v>1</v>
      </c>
      <c r="AE14" s="78">
        <v>1</v>
      </c>
      <c r="AF14" s="78">
        <v>1</v>
      </c>
      <c r="AG14" s="78">
        <v>1</v>
      </c>
      <c r="AH14" s="79">
        <v>40</v>
      </c>
    </row>
    <row r="15" spans="1:34" ht="15.75" thickBot="1" x14ac:dyDescent="0.3">
      <c r="A15" s="76">
        <v>4</v>
      </c>
      <c r="B15" s="58">
        <v>8</v>
      </c>
      <c r="C15" s="58">
        <v>500</v>
      </c>
      <c r="D15" s="58">
        <v>3</v>
      </c>
      <c r="E15" s="66">
        <f t="shared" si="6"/>
        <v>69.666666666666671</v>
      </c>
      <c r="F15" s="67">
        <v>140</v>
      </c>
      <c r="G15" s="68">
        <f>H14*(1-AD15*C$3)</f>
        <v>147.46666666666664</v>
      </c>
      <c r="H15" s="69">
        <f>G15+E15</f>
        <v>217.13333333333333</v>
      </c>
      <c r="I15" s="70">
        <f>(H15/D$3)^E$3</f>
        <v>0.82307230911453166</v>
      </c>
      <c r="J15" s="70">
        <f>(G15/D$3)^E$3</f>
        <v>0.42144560641664969</v>
      </c>
      <c r="K15" s="29">
        <f t="shared" si="7"/>
        <v>0.66923052101520875</v>
      </c>
      <c r="L15" s="51">
        <f>M14*(1-AE15*C$4)</f>
        <v>96.513666666666666</v>
      </c>
      <c r="M15" s="52">
        <f>L15+E15</f>
        <v>166.18033333333335</v>
      </c>
      <c r="N15" s="17">
        <f>(M15/D$4)^E$4</f>
        <v>0.45040407301022128</v>
      </c>
      <c r="O15" s="17">
        <f>(L15/D$4)^E$4</f>
        <v>0.1621584503803245</v>
      </c>
      <c r="P15" s="32">
        <f t="shared" si="8"/>
        <v>0.7495774564398453</v>
      </c>
      <c r="Q15" s="53">
        <f>R14*(1-AF15*C$5)</f>
        <v>96.513666666666666</v>
      </c>
      <c r="R15" s="54">
        <f>Q15+E15</f>
        <v>166.18033333333335</v>
      </c>
      <c r="S15" s="16">
        <f>(R15/D$5)^E$5</f>
        <v>1.4405950546284723</v>
      </c>
      <c r="T15" s="16">
        <f>(Q15/D$5)^E$5</f>
        <v>0.38466639741522679</v>
      </c>
      <c r="U15" s="35">
        <f t="shared" si="9"/>
        <v>0.34786922599182574</v>
      </c>
      <c r="V15" s="55">
        <f>W14*(1-AG15*C$6)</f>
        <v>147.46666666666664</v>
      </c>
      <c r="W15" s="56">
        <f>V15+E15</f>
        <v>217.13333333333333</v>
      </c>
      <c r="X15" s="18">
        <f>(W15/D$6)^E$6</f>
        <v>0.15912367523848306</v>
      </c>
      <c r="Y15" s="18">
        <f>(V15/D$6)^E$6</f>
        <v>5.9787753062133631E-2</v>
      </c>
      <c r="Z15" s="38">
        <f t="shared" si="10"/>
        <v>0.90543850005981785</v>
      </c>
      <c r="AA15" s="41">
        <f t="shared" si="11"/>
        <v>0.84199631204138758</v>
      </c>
      <c r="AB15" s="42">
        <f>1-AA15</f>
        <v>0.15800368795861242</v>
      </c>
      <c r="AC15" s="47">
        <f>(AF15*F$5)+E15+AC14</f>
        <v>271.33333333333331</v>
      </c>
      <c r="AD15" s="80">
        <v>0</v>
      </c>
      <c r="AE15" s="45">
        <v>1</v>
      </c>
      <c r="AF15" s="81">
        <v>1</v>
      </c>
      <c r="AG15" s="45">
        <v>0</v>
      </c>
      <c r="AH15" s="82">
        <v>85</v>
      </c>
    </row>
    <row r="16" spans="1:34" ht="18.75" x14ac:dyDescent="0.3">
      <c r="A16" s="132" t="s">
        <v>145</v>
      </c>
      <c r="B16" s="132"/>
      <c r="C16" s="132"/>
      <c r="D16" s="132"/>
      <c r="E16" s="132"/>
      <c r="F16" s="132"/>
      <c r="G16" s="132"/>
      <c r="H16" s="132"/>
      <c r="I16" s="132"/>
      <c r="J16" s="132"/>
      <c r="AB16" s="122"/>
      <c r="AC16" s="124"/>
      <c r="AE16" s="46"/>
      <c r="AF16" s="46"/>
      <c r="AG16" s="46"/>
    </row>
    <row r="17" spans="1:27" ht="15.75" x14ac:dyDescent="0.25">
      <c r="A17" s="19" t="s">
        <v>54</v>
      </c>
      <c r="B17" s="60" t="s">
        <v>49</v>
      </c>
      <c r="C17" s="61" t="s">
        <v>50</v>
      </c>
      <c r="D17" s="19" t="s">
        <v>58</v>
      </c>
      <c r="E17" s="60" t="s">
        <v>57</v>
      </c>
      <c r="F17" s="61" t="s">
        <v>50</v>
      </c>
      <c r="G17" s="19" t="s">
        <v>48</v>
      </c>
      <c r="H17" s="60" t="s">
        <v>61</v>
      </c>
      <c r="I17" s="61" t="s">
        <v>50</v>
      </c>
      <c r="J17" s="19" t="s">
        <v>82</v>
      </c>
      <c r="K17" s="83" t="s">
        <v>84</v>
      </c>
      <c r="L17" s="61" t="s">
        <v>50</v>
      </c>
      <c r="M17" s="61" t="s">
        <v>85</v>
      </c>
      <c r="O17" s="133" t="s">
        <v>64</v>
      </c>
      <c r="P17" s="133"/>
      <c r="Q17" s="134" t="s">
        <v>109</v>
      </c>
      <c r="R17" s="134"/>
    </row>
    <row r="18" spans="1:27" ht="24.75" x14ac:dyDescent="0.25">
      <c r="A18" s="61" t="s">
        <v>51</v>
      </c>
      <c r="B18" s="1">
        <f>AA12</f>
        <v>0.14843936060744001</v>
      </c>
      <c r="C18" s="59">
        <f>MAX(AC12+1*L5-F12,0)</f>
        <v>0</v>
      </c>
      <c r="D18" s="62" t="s">
        <v>55</v>
      </c>
      <c r="E18" s="1">
        <f>AA12*AA13</f>
        <v>6.427029620309764E-2</v>
      </c>
      <c r="F18" s="1">
        <f>MAX(AC13+2*L5-F13,0)</f>
        <v>26.666666666666657</v>
      </c>
      <c r="G18" s="62" t="s">
        <v>59</v>
      </c>
      <c r="H18" s="1">
        <f>AA12*AA13*AA14</f>
        <v>4.8310914295408743E-2</v>
      </c>
      <c r="I18" s="1">
        <f>AC14+3*L5-F14</f>
        <v>153.66666666666666</v>
      </c>
      <c r="J18" s="62" t="s">
        <v>83</v>
      </c>
      <c r="K18" s="1">
        <f>AA12*AA13*AA14*AA15</f>
        <v>4.067761166808171E-2</v>
      </c>
      <c r="L18" s="1">
        <f>AC15+4*L5-F15</f>
        <v>179.33333333333331</v>
      </c>
      <c r="M18" s="1">
        <f>B18*C18*AH12+E18*F18*AH13+H18*I18*AH14+K18*L18*AH15</f>
        <v>1105.5396825919909</v>
      </c>
      <c r="O18" s="1" t="s">
        <v>27</v>
      </c>
      <c r="P18" s="1">
        <f>2*H3</f>
        <v>3640</v>
      </c>
      <c r="Q18" s="1" t="s">
        <v>141</v>
      </c>
      <c r="R18" s="1">
        <f>S$18*AA12</f>
        <v>5231.7452646092233</v>
      </c>
      <c r="S18">
        <f>G3*(J3*K3+L3)+I3</f>
        <v>35245</v>
      </c>
    </row>
    <row r="19" spans="1:27" ht="24.75" x14ac:dyDescent="0.25">
      <c r="A19" s="62" t="s">
        <v>52</v>
      </c>
      <c r="B19" s="1">
        <f>AB12</f>
        <v>0.85156063939255999</v>
      </c>
      <c r="C19" s="59">
        <f>MAX(AC12-F12,0)</f>
        <v>0</v>
      </c>
      <c r="D19" s="62" t="s">
        <v>56</v>
      </c>
      <c r="E19" s="1">
        <f>AA12*AB13+AA13*AB12</f>
        <v>0.45287217862346874</v>
      </c>
      <c r="F19" s="1">
        <f>MAX(AC13+1*L5-F13,0)</f>
        <v>14.666666666666657</v>
      </c>
      <c r="G19" s="62" t="s">
        <v>60</v>
      </c>
      <c r="H19" s="1">
        <f>AA12*AA13*AB14+AA13*AA14*AB12+AA12*AA14*AB13</f>
        <v>0.35637587756402839</v>
      </c>
      <c r="I19" s="1">
        <f>AC14+2*L5-F14</f>
        <v>141.66666666666666</v>
      </c>
      <c r="J19" s="62" t="s">
        <v>59</v>
      </c>
      <c r="K19">
        <f>AB12*AA13*AA14*AA15+AB13*AA12*AA14*AA15+AB14*AA12*AA13*AA15+AB15*AA12*AA13*AA14</f>
        <v>0.30770047723675198</v>
      </c>
      <c r="L19" s="1">
        <f>AC15+3*L5-F15</f>
        <v>167.33333333333331</v>
      </c>
      <c r="M19" s="1">
        <f>B19*C19*AH12+E19*F19*AH13+H19*I19*AH14+K19*L19*AH15</f>
        <v>7126.6235422727586</v>
      </c>
      <c r="O19" s="1" t="s">
        <v>28</v>
      </c>
      <c r="P19" s="1">
        <f>3*H4</f>
        <v>8160</v>
      </c>
      <c r="Q19" s="1" t="s">
        <v>142</v>
      </c>
      <c r="R19" s="1">
        <f>S$18*AA13</f>
        <v>15260.147850331286</v>
      </c>
    </row>
    <row r="20" spans="1:27" ht="24.75" x14ac:dyDescent="0.25">
      <c r="A20" s="1"/>
      <c r="B20" s="1"/>
      <c r="C20" s="1"/>
      <c r="D20" s="62" t="s">
        <v>52</v>
      </c>
      <c r="E20" s="1">
        <f>AB12*AB13</f>
        <v>0.48285752517343361</v>
      </c>
      <c r="F20" s="59">
        <f>MAX(AC13-F13,0)</f>
        <v>2.6666666666666572</v>
      </c>
      <c r="G20" s="62" t="s">
        <v>56</v>
      </c>
      <c r="H20" s="1">
        <f>AA12*AB13*AB14+AA13*AB12*AB14+AA14*AB12*AB13</f>
        <v>0.47541166564739296</v>
      </c>
      <c r="I20" s="1">
        <f>AC14+1*L5-F14</f>
        <v>129.66666666666666</v>
      </c>
      <c r="J20" s="62" t="s">
        <v>60</v>
      </c>
      <c r="K20" s="1">
        <f>AA12*AA13*AB14*AB15 + AA12*AA14*AB13*AB15 + AA12*AA15*AB13*AB14 + AA13*AA14*AB12*AB15 + AA13*AA15*AB12*AB14 + AA14*AA15*AB12*AB13</f>
        <v>0.45660357213116143</v>
      </c>
      <c r="L20" s="1">
        <f>AC15+2*L5-F15</f>
        <v>155.33333333333331</v>
      </c>
      <c r="M20" s="1">
        <f>B20*C20*AH12+E20*F20*AH13+H20*I20*AH14+K20*L20*AH15</f>
        <v>8636.1292105804514</v>
      </c>
      <c r="O20" s="1" t="s">
        <v>29</v>
      </c>
      <c r="P20" s="1">
        <f>3*(F5*(J3*K3+L3)+H5)</f>
        <v>42300</v>
      </c>
      <c r="Q20" s="1" t="s">
        <v>143</v>
      </c>
      <c r="R20" s="1">
        <f>S$18*AA14</f>
        <v>26493.081173315255</v>
      </c>
    </row>
    <row r="21" spans="1:27" ht="24.75" x14ac:dyDescent="0.25">
      <c r="A21" s="1"/>
      <c r="B21" s="1"/>
      <c r="C21" s="1"/>
      <c r="D21" s="1"/>
      <c r="E21" s="1"/>
      <c r="F21" s="1"/>
      <c r="G21" s="62" t="s">
        <v>52</v>
      </c>
      <c r="H21" s="1">
        <f>AB12*AB13*AB14</f>
        <v>0.11990154249317</v>
      </c>
      <c r="I21" s="63">
        <f>AC14-F14</f>
        <v>117.66666666666666</v>
      </c>
      <c r="J21" s="62" t="s">
        <v>56</v>
      </c>
      <c r="K21" s="1">
        <f>AA12*AB13*AB14*AB15+AA13*AB12*AB14*AB15+AA14*AB12*AB13*AB15+AA15*AB12*AB13*AB14</f>
        <v>0.17607345305815775</v>
      </c>
      <c r="L21" s="1">
        <f>AC15+1*L5-F15</f>
        <v>143.33333333333331</v>
      </c>
      <c r="M21" s="1">
        <f>B21*C21*AH12+E21*F21*AH13+H21*I21*AH14+K21*L21*AH15</f>
        <v>2709.4981630930752</v>
      </c>
      <c r="O21" s="1" t="s">
        <v>30</v>
      </c>
      <c r="P21" s="1">
        <f>1*H6</f>
        <v>4320</v>
      </c>
      <c r="Q21" s="1" t="s">
        <v>144</v>
      </c>
      <c r="R21" s="1">
        <f>S$18*AA15</f>
        <v>29676.160017898706</v>
      </c>
    </row>
    <row r="22" spans="1:27" ht="30" x14ac:dyDescent="0.25">
      <c r="I22" s="84"/>
      <c r="J22" s="62" t="s">
        <v>52</v>
      </c>
      <c r="K22" s="85">
        <f>AB12*AB13*AB14*AB15</f>
        <v>1.8944885905847142E-2</v>
      </c>
      <c r="L22" s="1">
        <f>AC15+0*L5-F15</f>
        <v>131.33333333333331</v>
      </c>
      <c r="M22" s="1">
        <f>B22*C22*AH12+E22*F22*AH13+H22*I22*AH14+K22*L22*AH15</f>
        <v>211.48807632894022</v>
      </c>
      <c r="O22" s="116" t="s">
        <v>65</v>
      </c>
      <c r="P22" s="117">
        <f>SUM(P18:P21)</f>
        <v>58420</v>
      </c>
      <c r="Q22" s="114" t="s">
        <v>108</v>
      </c>
      <c r="R22" s="115">
        <f>SUM(R18:R21)</f>
        <v>76661.134306154476</v>
      </c>
      <c r="T22" t="s">
        <v>134</v>
      </c>
      <c r="U22">
        <f>R22/AC15</f>
        <v>282.53489302022535</v>
      </c>
      <c r="Y22">
        <f>67*0.7</f>
        <v>46.9</v>
      </c>
      <c r="AA22">
        <f>0.8*126</f>
        <v>100.80000000000001</v>
      </c>
    </row>
    <row r="23" spans="1:27" x14ac:dyDescent="0.25">
      <c r="L23" s="135" t="s">
        <v>63</v>
      </c>
      <c r="M23" s="136">
        <f>SUM(M18:M22)</f>
        <v>19789.278674867215</v>
      </c>
      <c r="T23" t="s">
        <v>136</v>
      </c>
      <c r="U23">
        <f>P22/AC15</f>
        <v>215.30712530712532</v>
      </c>
    </row>
    <row r="24" spans="1:27" ht="15.75" customHeight="1" x14ac:dyDescent="0.25">
      <c r="A24" s="137" t="s">
        <v>90</v>
      </c>
      <c r="B24" s="137"/>
      <c r="C24" s="137"/>
      <c r="D24" s="137"/>
      <c r="L24" s="135"/>
      <c r="M24" s="136"/>
      <c r="T24" t="s">
        <v>138</v>
      </c>
      <c r="U24" t="e">
        <f>#REF!/AC15</f>
        <v>#REF!</v>
      </c>
    </row>
    <row r="25" spans="1:27" ht="27.75" customHeight="1" x14ac:dyDescent="0.25">
      <c r="A25" s="118" t="s">
        <v>32</v>
      </c>
      <c r="B25" s="119" t="s">
        <v>44</v>
      </c>
      <c r="C25" s="121" t="s">
        <v>35</v>
      </c>
      <c r="D25" s="120" t="s">
        <v>137</v>
      </c>
      <c r="O25" s="131" t="s">
        <v>81</v>
      </c>
      <c r="P25" s="131"/>
      <c r="Q25" s="131">
        <f>(R22+P22+M23+D30)/AC15</f>
        <v>1037.9130699546254</v>
      </c>
      <c r="R25" s="131"/>
    </row>
    <row r="26" spans="1:27" x14ac:dyDescent="0.25">
      <c r="A26" s="120">
        <v>3</v>
      </c>
      <c r="B26" s="120">
        <v>45.666666666666664</v>
      </c>
      <c r="C26" s="120">
        <v>95</v>
      </c>
      <c r="D26" s="120">
        <v>0</v>
      </c>
    </row>
    <row r="27" spans="1:27" x14ac:dyDescent="0.25">
      <c r="A27" s="120">
        <v>1</v>
      </c>
      <c r="B27" s="120">
        <v>108.66666666666666</v>
      </c>
      <c r="C27" s="120">
        <v>106</v>
      </c>
      <c r="D27" s="120">
        <f>1.5*((B27-C27)*250)</f>
        <v>999.99999999999636</v>
      </c>
    </row>
    <row r="28" spans="1:27" x14ac:dyDescent="0.25">
      <c r="A28" s="120">
        <v>2</v>
      </c>
      <c r="B28" s="120">
        <v>193.66666666666666</v>
      </c>
      <c r="C28" s="120">
        <v>76</v>
      </c>
      <c r="D28" s="120">
        <f>1.5*((B28-B27)*250+(B27-C28)*500)</f>
        <v>56374.999999999993</v>
      </c>
    </row>
    <row r="29" spans="1:27" x14ac:dyDescent="0.25">
      <c r="A29" s="120">
        <v>4</v>
      </c>
      <c r="B29" s="120">
        <v>271.33333333333331</v>
      </c>
      <c r="C29" s="120">
        <v>140</v>
      </c>
      <c r="D29" s="120">
        <f>1.5*((B28-C29)*500+(B29-B28)*250)</f>
        <v>69374.999999999985</v>
      </c>
      <c r="I29">
        <f>M23+D30</f>
        <v>146539.27867486718</v>
      </c>
      <c r="J29">
        <f>I29/AC15</f>
        <v>540.07105162727464</v>
      </c>
    </row>
    <row r="30" spans="1:27" x14ac:dyDescent="0.25">
      <c r="A30" s="128" t="s">
        <v>80</v>
      </c>
      <c r="B30" s="129"/>
      <c r="C30" s="130"/>
      <c r="D30" s="123">
        <f>SUM(D26:D29)</f>
        <v>126749.99999999997</v>
      </c>
    </row>
  </sheetData>
  <mergeCells count="31">
    <mergeCell ref="A1:M1"/>
    <mergeCell ref="O1:V1"/>
    <mergeCell ref="O2:O3"/>
    <mergeCell ref="P2:P3"/>
    <mergeCell ref="Q2:Q3"/>
    <mergeCell ref="T2:T3"/>
    <mergeCell ref="G3:G6"/>
    <mergeCell ref="I3:I6"/>
    <mergeCell ref="K5:K6"/>
    <mergeCell ref="L5:L6"/>
    <mergeCell ref="AH10:AH11"/>
    <mergeCell ref="M5:M6"/>
    <mergeCell ref="N5:N6"/>
    <mergeCell ref="A8:A10"/>
    <mergeCell ref="B8:E10"/>
    <mergeCell ref="G10:K10"/>
    <mergeCell ref="L10:P10"/>
    <mergeCell ref="Q10:U10"/>
    <mergeCell ref="V10:Z10"/>
    <mergeCell ref="AA10:AB10"/>
    <mergeCell ref="AC10:AC11"/>
    <mergeCell ref="AD10:AG10"/>
    <mergeCell ref="A30:C30"/>
    <mergeCell ref="O25:P25"/>
    <mergeCell ref="Q25:R25"/>
    <mergeCell ref="A16:J16"/>
    <mergeCell ref="O17:P17"/>
    <mergeCell ref="Q17:R17"/>
    <mergeCell ref="L23:L24"/>
    <mergeCell ref="M23:M24"/>
    <mergeCell ref="A24:D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workbookViewId="0">
      <selection activeCell="Q25" sqref="Q25:R25"/>
    </sheetView>
  </sheetViews>
  <sheetFormatPr defaultRowHeight="15" x14ac:dyDescent="0.25"/>
  <cols>
    <col min="1" max="1" width="9.28515625" customWidth="1"/>
    <col min="2" max="2" width="12" bestFit="1" customWidth="1"/>
    <col min="3" max="3" width="9.85546875" customWidth="1"/>
    <col min="4" max="4" width="10.140625" customWidth="1"/>
    <col min="5" max="6" width="12" bestFit="1" customWidth="1"/>
    <col min="7" max="7" width="11.5703125" bestFit="1" customWidth="1"/>
    <col min="8" max="8" width="12" bestFit="1" customWidth="1"/>
    <col min="9" max="9" width="16.28515625" customWidth="1"/>
    <col min="10" max="10" width="12.42578125" customWidth="1"/>
    <col min="11" max="11" width="12.5703125" bestFit="1" customWidth="1"/>
    <col min="12" max="12" width="14.42578125" customWidth="1"/>
    <col min="13" max="13" width="13.42578125" customWidth="1"/>
    <col min="14" max="16" width="12" bestFit="1" customWidth="1"/>
    <col min="17" max="17" width="12.28515625" customWidth="1"/>
    <col min="18" max="18" width="14.140625" customWidth="1"/>
    <col min="19" max="19" width="15.5703125" customWidth="1"/>
    <col min="20" max="20" width="12" bestFit="1" customWidth="1"/>
    <col min="21" max="21" width="14.28515625" bestFit="1" customWidth="1"/>
    <col min="22" max="22" width="7.85546875" customWidth="1"/>
    <col min="23" max="23" width="6.5703125" bestFit="1" customWidth="1"/>
    <col min="24" max="28" width="12" bestFit="1" customWidth="1"/>
    <col min="29" max="29" width="10.28515625" customWidth="1"/>
    <col min="30" max="33" width="3.140625" bestFit="1" customWidth="1"/>
  </cols>
  <sheetData>
    <row r="1" spans="1:34" ht="19.5" customHeight="1" x14ac:dyDescent="0.35">
      <c r="A1" s="165" t="s">
        <v>14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O1" s="166" t="s">
        <v>72</v>
      </c>
      <c r="P1" s="166"/>
      <c r="Q1" s="166"/>
      <c r="R1" s="166"/>
      <c r="S1" s="166"/>
      <c r="T1" s="166"/>
      <c r="U1" s="166"/>
      <c r="V1" s="166"/>
    </row>
    <row r="2" spans="1:34" ht="60" x14ac:dyDescent="0.25">
      <c r="A2" s="4" t="s">
        <v>15</v>
      </c>
      <c r="B2" s="4" t="s">
        <v>16</v>
      </c>
      <c r="C2" s="4" t="s">
        <v>31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6" t="s">
        <v>25</v>
      </c>
      <c r="M2" s="6" t="s">
        <v>26</v>
      </c>
      <c r="N2" s="8"/>
      <c r="O2" s="167" t="s">
        <v>32</v>
      </c>
      <c r="P2" s="167" t="s">
        <v>35</v>
      </c>
      <c r="Q2" s="167" t="s">
        <v>66</v>
      </c>
      <c r="R2" s="99" t="s">
        <v>67</v>
      </c>
      <c r="S2" s="99" t="s">
        <v>68</v>
      </c>
      <c r="T2" s="167" t="s">
        <v>69</v>
      </c>
      <c r="U2" s="71" t="s">
        <v>33</v>
      </c>
      <c r="V2" s="99" t="s">
        <v>70</v>
      </c>
    </row>
    <row r="3" spans="1:34" x14ac:dyDescent="0.25">
      <c r="A3" s="3" t="s">
        <v>27</v>
      </c>
      <c r="B3" s="3">
        <v>0</v>
      </c>
      <c r="C3" s="3">
        <v>0.3</v>
      </c>
      <c r="D3" s="3">
        <v>243</v>
      </c>
      <c r="E3" s="3">
        <v>1.73</v>
      </c>
      <c r="F3" s="3">
        <v>5</v>
      </c>
      <c r="G3" s="169">
        <v>12</v>
      </c>
      <c r="H3" s="3">
        <v>1820</v>
      </c>
      <c r="I3" s="169">
        <v>19645</v>
      </c>
      <c r="J3" s="3">
        <v>20</v>
      </c>
      <c r="K3" s="3">
        <v>40</v>
      </c>
      <c r="L3" s="3">
        <v>500</v>
      </c>
      <c r="M3" s="3">
        <v>1000</v>
      </c>
      <c r="O3" s="168"/>
      <c r="P3" s="168"/>
      <c r="Q3" s="168"/>
      <c r="R3" s="72" t="s">
        <v>71</v>
      </c>
      <c r="S3" s="72" t="s">
        <v>71</v>
      </c>
      <c r="T3" s="168"/>
      <c r="U3" s="73">
        <v>500</v>
      </c>
      <c r="V3" s="3">
        <v>1.5</v>
      </c>
    </row>
    <row r="4" spans="1:34" x14ac:dyDescent="0.25">
      <c r="A4" s="3" t="s">
        <v>28</v>
      </c>
      <c r="B4" s="3">
        <v>0</v>
      </c>
      <c r="C4" s="3">
        <v>0.3</v>
      </c>
      <c r="D4" s="3">
        <v>254</v>
      </c>
      <c r="E4" s="3">
        <v>1.88</v>
      </c>
      <c r="F4" s="3">
        <v>3</v>
      </c>
      <c r="G4" s="170"/>
      <c r="H4" s="3">
        <v>2720</v>
      </c>
      <c r="I4" s="170"/>
      <c r="J4" s="5"/>
      <c r="K4" s="5"/>
      <c r="L4" s="5"/>
      <c r="M4" s="5"/>
      <c r="O4" s="74">
        <v>1</v>
      </c>
      <c r="P4" s="74">
        <v>106</v>
      </c>
      <c r="Q4" s="74">
        <v>110</v>
      </c>
      <c r="R4" s="74">
        <v>6</v>
      </c>
      <c r="S4" s="74">
        <v>5</v>
      </c>
      <c r="T4" s="74">
        <f>R4*$U$3/60+S4</f>
        <v>55</v>
      </c>
      <c r="U4" s="75"/>
    </row>
    <row r="5" spans="1:34" x14ac:dyDescent="0.25">
      <c r="A5" s="3" t="s">
        <v>29</v>
      </c>
      <c r="B5" s="3">
        <v>0</v>
      </c>
      <c r="C5" s="3">
        <v>0.3</v>
      </c>
      <c r="D5" s="3">
        <v>143</v>
      </c>
      <c r="E5" s="3">
        <v>2.4300000000000002</v>
      </c>
      <c r="F5" s="3">
        <v>8</v>
      </c>
      <c r="G5" s="170"/>
      <c r="H5" s="3">
        <v>3700</v>
      </c>
      <c r="I5" s="170"/>
      <c r="J5" s="5"/>
      <c r="K5" s="140" t="s">
        <v>73</v>
      </c>
      <c r="L5" s="141">
        <v>12</v>
      </c>
      <c r="M5" s="140" t="s">
        <v>74</v>
      </c>
      <c r="N5" s="141">
        <v>19645</v>
      </c>
      <c r="O5" s="74">
        <v>2</v>
      </c>
      <c r="P5" s="74">
        <v>76</v>
      </c>
      <c r="Q5" s="74">
        <v>40</v>
      </c>
      <c r="R5" s="74">
        <v>9</v>
      </c>
      <c r="S5" s="74">
        <v>2</v>
      </c>
      <c r="T5" s="74">
        <f t="shared" ref="T5:T7" si="0">R5*$U$3/60+S5</f>
        <v>77</v>
      </c>
      <c r="U5" s="75"/>
    </row>
    <row r="6" spans="1:34" x14ac:dyDescent="0.25">
      <c r="A6" s="3" t="s">
        <v>30</v>
      </c>
      <c r="B6" s="3">
        <v>0</v>
      </c>
      <c r="C6" s="3">
        <v>0.3</v>
      </c>
      <c r="D6" s="3">
        <v>449</v>
      </c>
      <c r="E6" s="3">
        <v>2.5299999999999998</v>
      </c>
      <c r="F6" s="3">
        <v>4</v>
      </c>
      <c r="G6" s="171"/>
      <c r="H6" s="3">
        <v>4320</v>
      </c>
      <c r="I6" s="171"/>
      <c r="J6" s="5"/>
      <c r="K6" s="140"/>
      <c r="L6" s="141"/>
      <c r="M6" s="140"/>
      <c r="N6" s="141"/>
      <c r="O6" s="74">
        <v>3</v>
      </c>
      <c r="P6" s="74">
        <v>95</v>
      </c>
      <c r="Q6" s="74">
        <v>67</v>
      </c>
      <c r="R6" s="74">
        <v>5</v>
      </c>
      <c r="S6" s="74">
        <v>4</v>
      </c>
      <c r="T6" s="74">
        <f t="shared" si="0"/>
        <v>45.666666666666664</v>
      </c>
      <c r="U6" s="75"/>
    </row>
    <row r="7" spans="1:34" ht="15.75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O7" s="74">
        <v>4</v>
      </c>
      <c r="P7" s="74">
        <v>140</v>
      </c>
      <c r="Q7" s="94">
        <v>85</v>
      </c>
      <c r="R7" s="94">
        <v>8</v>
      </c>
      <c r="S7" s="94">
        <v>3</v>
      </c>
      <c r="T7" s="74">
        <f t="shared" si="0"/>
        <v>69.666666666666671</v>
      </c>
    </row>
    <row r="8" spans="1:34" ht="15.75" customHeight="1" x14ac:dyDescent="0.25">
      <c r="A8" s="142" t="s">
        <v>100</v>
      </c>
      <c r="B8" s="144" t="s">
        <v>129</v>
      </c>
      <c r="C8" s="144"/>
      <c r="D8" s="144"/>
      <c r="E8" s="144"/>
      <c r="F8" s="20" t="s">
        <v>27</v>
      </c>
      <c r="G8" s="20" t="s">
        <v>28</v>
      </c>
      <c r="H8" s="20" t="s">
        <v>29</v>
      </c>
      <c r="I8" s="20" t="s">
        <v>30</v>
      </c>
    </row>
    <row r="9" spans="1:34" ht="15.75" customHeight="1" thickBot="1" x14ac:dyDescent="0.3">
      <c r="A9" s="143"/>
      <c r="B9" s="145"/>
      <c r="C9" s="145"/>
      <c r="D9" s="145"/>
      <c r="E9" s="145"/>
      <c r="F9" s="20">
        <v>91</v>
      </c>
      <c r="G9" s="26">
        <v>91</v>
      </c>
      <c r="H9" s="26">
        <v>91</v>
      </c>
      <c r="I9" s="26">
        <v>91</v>
      </c>
    </row>
    <row r="10" spans="1:34" ht="15.75" customHeight="1" thickBot="1" x14ac:dyDescent="0.3">
      <c r="A10" s="143"/>
      <c r="B10" s="145"/>
      <c r="C10" s="145"/>
      <c r="D10" s="145"/>
      <c r="E10" s="145"/>
      <c r="F10" s="7"/>
      <c r="G10" s="146" t="s">
        <v>27</v>
      </c>
      <c r="H10" s="147"/>
      <c r="I10" s="147"/>
      <c r="J10" s="147"/>
      <c r="K10" s="148"/>
      <c r="L10" s="149" t="s">
        <v>28</v>
      </c>
      <c r="M10" s="150"/>
      <c r="N10" s="150"/>
      <c r="O10" s="150"/>
      <c r="P10" s="151"/>
      <c r="Q10" s="152" t="s">
        <v>29</v>
      </c>
      <c r="R10" s="153"/>
      <c r="S10" s="153"/>
      <c r="T10" s="153"/>
      <c r="U10" s="154"/>
      <c r="V10" s="155" t="s">
        <v>30</v>
      </c>
      <c r="W10" s="156"/>
      <c r="X10" s="156"/>
      <c r="Y10" s="156"/>
      <c r="Z10" s="157"/>
      <c r="AA10" s="158" t="s">
        <v>42</v>
      </c>
      <c r="AB10" s="159"/>
      <c r="AC10" s="160" t="s">
        <v>44</v>
      </c>
      <c r="AD10" s="162" t="s">
        <v>47</v>
      </c>
      <c r="AE10" s="163"/>
      <c r="AF10" s="163"/>
      <c r="AG10" s="164"/>
      <c r="AH10" s="138" t="s">
        <v>62</v>
      </c>
    </row>
    <row r="11" spans="1:34" ht="36.75" x14ac:dyDescent="0.25">
      <c r="A11" s="21" t="s">
        <v>32</v>
      </c>
      <c r="B11" s="22" t="s">
        <v>37</v>
      </c>
      <c r="C11" s="23" t="s">
        <v>33</v>
      </c>
      <c r="D11" s="22" t="s">
        <v>38</v>
      </c>
      <c r="E11" s="22" t="s">
        <v>34</v>
      </c>
      <c r="F11" s="25" t="s">
        <v>35</v>
      </c>
      <c r="G11" s="27" t="s">
        <v>39</v>
      </c>
      <c r="H11" s="10" t="s">
        <v>40</v>
      </c>
      <c r="I11" s="10" t="s">
        <v>45</v>
      </c>
      <c r="J11" s="10" t="s">
        <v>46</v>
      </c>
      <c r="K11" s="111" t="s">
        <v>43</v>
      </c>
      <c r="L11" s="30" t="s">
        <v>39</v>
      </c>
      <c r="M11" s="13" t="s">
        <v>40</v>
      </c>
      <c r="N11" s="13" t="s">
        <v>45</v>
      </c>
      <c r="O11" s="13" t="s">
        <v>46</v>
      </c>
      <c r="P11" s="112" t="s">
        <v>43</v>
      </c>
      <c r="Q11" s="33" t="s">
        <v>39</v>
      </c>
      <c r="R11" s="12" t="s">
        <v>40</v>
      </c>
      <c r="S11" s="12" t="s">
        <v>45</v>
      </c>
      <c r="T11" s="12" t="s">
        <v>46</v>
      </c>
      <c r="U11" s="34" t="s">
        <v>41</v>
      </c>
      <c r="V11" s="36" t="s">
        <v>39</v>
      </c>
      <c r="W11" s="11" t="s">
        <v>40</v>
      </c>
      <c r="X11" s="11" t="s">
        <v>45</v>
      </c>
      <c r="Y11" s="11" t="s">
        <v>46</v>
      </c>
      <c r="Z11" s="113" t="s">
        <v>43</v>
      </c>
      <c r="AA11" s="39" t="s">
        <v>41</v>
      </c>
      <c r="AB11" s="40" t="s">
        <v>43</v>
      </c>
      <c r="AC11" s="161"/>
      <c r="AD11" s="43" t="s">
        <v>27</v>
      </c>
      <c r="AE11" s="1" t="s">
        <v>28</v>
      </c>
      <c r="AF11" s="1" t="s">
        <v>29</v>
      </c>
      <c r="AG11" s="1" t="s">
        <v>30</v>
      </c>
      <c r="AH11" s="139"/>
    </row>
    <row r="12" spans="1:34" x14ac:dyDescent="0.25">
      <c r="A12" s="24">
        <v>3</v>
      </c>
      <c r="B12" s="9">
        <v>5</v>
      </c>
      <c r="C12" s="9">
        <v>500</v>
      </c>
      <c r="D12" s="9">
        <v>4</v>
      </c>
      <c r="E12" s="48">
        <f>B12*C12/60+D12</f>
        <v>45.666666666666664</v>
      </c>
      <c r="F12" s="14">
        <v>95</v>
      </c>
      <c r="G12" s="49">
        <f>B$3*(1-AD12*C$3)</f>
        <v>0</v>
      </c>
      <c r="H12" s="50">
        <f>G12+E12</f>
        <v>45.666666666666664</v>
      </c>
      <c r="I12" s="15">
        <f>(H12/D$3)^E$3</f>
        <v>5.5463587496332782E-2</v>
      </c>
      <c r="J12" s="15">
        <f>(G12/D$3)^E$3</f>
        <v>0</v>
      </c>
      <c r="K12" s="29">
        <f>EXP(J12-I12)</f>
        <v>0.94604647096386807</v>
      </c>
      <c r="L12" s="51">
        <f>B$4*(1-AE12*C$4)</f>
        <v>0</v>
      </c>
      <c r="M12" s="52">
        <f>L12+E12</f>
        <v>45.666666666666664</v>
      </c>
      <c r="N12" s="17">
        <f>(M12/D$4)^E$4</f>
        <v>3.9715434673642101E-2</v>
      </c>
      <c r="O12" s="17">
        <f>(L12/D$4)^E$4</f>
        <v>0</v>
      </c>
      <c r="P12" s="32">
        <f>EXP(O12-N12)</f>
        <v>0.96106288541745444</v>
      </c>
      <c r="Q12" s="53">
        <f>B$5*(1-AF12*C$5)</f>
        <v>0</v>
      </c>
      <c r="R12" s="54">
        <f>Q12+E12</f>
        <v>45.666666666666664</v>
      </c>
      <c r="S12" s="16">
        <f>(R12/D$5)^E$5</f>
        <v>6.2425173515745024E-2</v>
      </c>
      <c r="T12" s="16">
        <f>(Q12/D$5)^E$5</f>
        <v>0</v>
      </c>
      <c r="U12" s="35">
        <f>EXP(T12-S12)</f>
        <v>0.93948335842018305</v>
      </c>
      <c r="V12" s="55">
        <f>B$6*(1-AG12*C$6)</f>
        <v>0</v>
      </c>
      <c r="W12" s="56">
        <f>V12+E12</f>
        <v>45.666666666666664</v>
      </c>
      <c r="X12" s="18">
        <f>(W12/D$6)^E$6</f>
        <v>3.0803709406480337E-3</v>
      </c>
      <c r="Y12" s="18">
        <f>(V12/D$6)^E$6</f>
        <v>0</v>
      </c>
      <c r="Z12" s="38">
        <f>EXP(Y12-X12)</f>
        <v>0.99692436853422217</v>
      </c>
      <c r="AA12" s="41">
        <f>1-K12*P12*U12*Z12</f>
        <v>0.14843936060744001</v>
      </c>
      <c r="AB12" s="42">
        <f>1-AA12</f>
        <v>0.85156063939255999</v>
      </c>
      <c r="AC12" s="47">
        <f>(AD12*F$3+AE12*F$4+AF12*F$5+AG12*F$6)+E12</f>
        <v>45.666666666666664</v>
      </c>
      <c r="AD12" s="43">
        <v>0</v>
      </c>
      <c r="AE12" s="1">
        <v>0</v>
      </c>
      <c r="AF12" s="1">
        <v>0</v>
      </c>
      <c r="AG12" s="1">
        <v>0</v>
      </c>
      <c r="AH12" s="44">
        <v>67</v>
      </c>
    </row>
    <row r="13" spans="1:34" x14ac:dyDescent="0.25">
      <c r="A13" s="24">
        <v>1</v>
      </c>
      <c r="B13" s="9">
        <v>6</v>
      </c>
      <c r="C13" s="9">
        <v>500</v>
      </c>
      <c r="D13" s="9">
        <v>5</v>
      </c>
      <c r="E13" s="9">
        <f t="shared" ref="E13:E15" si="1">B13*C13/60+D13</f>
        <v>55</v>
      </c>
      <c r="F13" s="14">
        <v>106</v>
      </c>
      <c r="G13" s="49">
        <f>H12*(1-AD13*C$3)</f>
        <v>31.966666666666661</v>
      </c>
      <c r="H13" s="50">
        <f>G13+E13</f>
        <v>86.966666666666669</v>
      </c>
      <c r="I13" s="15">
        <f>(H13/D$3)^E$3</f>
        <v>0.16903690519434617</v>
      </c>
      <c r="J13" s="15">
        <f>(G13/D$3)^E$3</f>
        <v>2.9924545736913648E-2</v>
      </c>
      <c r="K13" s="29">
        <f t="shared" ref="K13:K15" si="2">EXP(J13-I13)</f>
        <v>0.8701302556020869</v>
      </c>
      <c r="L13" s="51">
        <f>M12*(1-AE13*C$4)</f>
        <v>31.966666666666661</v>
      </c>
      <c r="M13" s="52">
        <f>L13+E13</f>
        <v>86.966666666666669</v>
      </c>
      <c r="N13" s="17">
        <f>(M13/D$4)^E$4</f>
        <v>0.13332018959183325</v>
      </c>
      <c r="O13" s="17">
        <f>(L13/D$4)^E$4</f>
        <v>2.031157661785336E-2</v>
      </c>
      <c r="P13" s="32">
        <f t="shared" ref="P13:P15" si="3">EXP(O13-N13)</f>
        <v>0.89314296746574817</v>
      </c>
      <c r="Q13" s="53">
        <f>R12*(1-AF13*C$5)</f>
        <v>31.966666666666661</v>
      </c>
      <c r="R13" s="54">
        <f>Q13+E13</f>
        <v>86.966666666666669</v>
      </c>
      <c r="S13" s="16">
        <f>(R13/D$5)^E$5</f>
        <v>0.29864881248498298</v>
      </c>
      <c r="T13" s="16">
        <f>(Q13/D$5)^E$5</f>
        <v>2.6239043252001361E-2</v>
      </c>
      <c r="U13" s="35">
        <f t="shared" ref="U13:U15" si="4">EXP(T13-S13)</f>
        <v>0.76154214060667991</v>
      </c>
      <c r="V13" s="55">
        <f>W12*(1-AG13*C$6)</f>
        <v>31.966666666666661</v>
      </c>
      <c r="W13" s="56">
        <f>V13+E13</f>
        <v>86.966666666666669</v>
      </c>
      <c r="X13" s="18">
        <f>(W13/D$6)^E$6</f>
        <v>1.571735284574954E-2</v>
      </c>
      <c r="Y13" s="18">
        <f>(V13/D$6)^E$6</f>
        <v>1.2493987265706234E-3</v>
      </c>
      <c r="Z13" s="38">
        <f t="shared" ref="Z13:Z15" si="5">EXP(Y13-X13)</f>
        <v>0.98563620380661399</v>
      </c>
      <c r="AA13" s="41">
        <f t="shared" ref="AA13:AA15" si="6">1-K13*P13*U13*Z13</f>
        <v>0.41666794711161137</v>
      </c>
      <c r="AB13" s="42">
        <f>1-AA13</f>
        <v>0.58333205288838863</v>
      </c>
      <c r="AC13" s="47">
        <f>AF13*F$5+E13+AC12</f>
        <v>108.66666666666666</v>
      </c>
      <c r="AD13" s="43">
        <v>1</v>
      </c>
      <c r="AE13" s="1">
        <v>1</v>
      </c>
      <c r="AF13" s="1">
        <v>1</v>
      </c>
      <c r="AG13" s="1">
        <v>1</v>
      </c>
      <c r="AH13" s="44">
        <v>110</v>
      </c>
    </row>
    <row r="14" spans="1:34" x14ac:dyDescent="0.25">
      <c r="A14" s="57">
        <v>2</v>
      </c>
      <c r="B14" s="58">
        <v>9</v>
      </c>
      <c r="C14" s="58">
        <v>500</v>
      </c>
      <c r="D14" s="58">
        <v>2</v>
      </c>
      <c r="E14" s="66">
        <f t="shared" si="1"/>
        <v>77</v>
      </c>
      <c r="F14" s="67">
        <v>76</v>
      </c>
      <c r="G14" s="68">
        <f>H13*(1-AD14*C$3)</f>
        <v>60.876666666666665</v>
      </c>
      <c r="H14" s="69">
        <f>G14+E14</f>
        <v>137.87666666666667</v>
      </c>
      <c r="I14" s="70">
        <f>(H14/D$3)^E$3</f>
        <v>0.37516316227475804</v>
      </c>
      <c r="J14" s="70">
        <f>(G14/D$3)^E$3</f>
        <v>9.1201323770284476E-2</v>
      </c>
      <c r="K14" s="29">
        <f t="shared" si="2"/>
        <v>0.75279537195527457</v>
      </c>
      <c r="L14" s="51">
        <f>M13*(1-AE14*C$4)</f>
        <v>60.876666666666665</v>
      </c>
      <c r="M14" s="52">
        <f>L14+E14</f>
        <v>137.87666666666667</v>
      </c>
      <c r="N14" s="17">
        <f>(M14/D$4)^E$4</f>
        <v>0.31707008589367913</v>
      </c>
      <c r="O14" s="17">
        <f>(L14/D$4)^E$4</f>
        <v>6.8183648696118551E-2</v>
      </c>
      <c r="P14" s="32">
        <f t="shared" si="3"/>
        <v>0.77966850969832435</v>
      </c>
      <c r="Q14" s="53">
        <f>R13*(1-AF14*C$5)</f>
        <v>60.876666666666665</v>
      </c>
      <c r="R14" s="54">
        <f>Q14+E14</f>
        <v>137.87666666666667</v>
      </c>
      <c r="S14" s="16">
        <f>(R14/D$5)^E$5</f>
        <v>0.91515785746077072</v>
      </c>
      <c r="T14" s="16">
        <f>(Q14/D$5)^E$5</f>
        <v>0.12553043374362163</v>
      </c>
      <c r="U14" s="35">
        <f t="shared" si="4"/>
        <v>0.45401391859288415</v>
      </c>
      <c r="V14" s="55">
        <f>W13*(1-AG14*C$6)</f>
        <v>60.876666666666665</v>
      </c>
      <c r="W14" s="56">
        <f>V14+E14</f>
        <v>137.87666666666667</v>
      </c>
      <c r="X14" s="18">
        <f>(W14/D$6)^E$6</f>
        <v>5.0434581180508725E-2</v>
      </c>
      <c r="Y14" s="18">
        <f>(V14/D$6)^E$6</f>
        <v>6.3749597074206424E-3</v>
      </c>
      <c r="Z14" s="38">
        <f t="shared" si="5"/>
        <v>0.95689690416924256</v>
      </c>
      <c r="AA14" s="41">
        <f t="shared" si="6"/>
        <v>0.74501111446025781</v>
      </c>
      <c r="AB14" s="42">
        <f>1-AA14</f>
        <v>0.25498888553974219</v>
      </c>
      <c r="AC14" s="47">
        <f>(AF14*F$5)+E14+AC13</f>
        <v>193.66666666666666</v>
      </c>
      <c r="AD14" s="77">
        <v>1</v>
      </c>
      <c r="AE14" s="78">
        <v>1</v>
      </c>
      <c r="AF14" s="78">
        <v>1</v>
      </c>
      <c r="AG14" s="78">
        <v>1</v>
      </c>
      <c r="AH14" s="79">
        <v>40</v>
      </c>
    </row>
    <row r="15" spans="1:34" ht="15.75" thickBot="1" x14ac:dyDescent="0.3">
      <c r="A15" s="76">
        <v>4</v>
      </c>
      <c r="B15" s="58">
        <v>8</v>
      </c>
      <c r="C15" s="58">
        <v>500</v>
      </c>
      <c r="D15" s="58">
        <v>3</v>
      </c>
      <c r="E15" s="66">
        <f t="shared" si="1"/>
        <v>69.666666666666671</v>
      </c>
      <c r="F15" s="67">
        <v>140</v>
      </c>
      <c r="G15" s="68">
        <f>H14*(1-AD15*C$3)</f>
        <v>96.513666666666666</v>
      </c>
      <c r="H15" s="69">
        <f>G15+E15</f>
        <v>166.18033333333335</v>
      </c>
      <c r="I15" s="70">
        <f>(H15/D$3)^E$3</f>
        <v>0.51820774463668084</v>
      </c>
      <c r="J15" s="70">
        <f>(G15/D$3)^E$3</f>
        <v>0.20241365037987211</v>
      </c>
      <c r="K15" s="29">
        <f t="shared" si="2"/>
        <v>0.72920958315163253</v>
      </c>
      <c r="L15" s="51">
        <f>M14*(1-AE15*C$4)</f>
        <v>96.513666666666666</v>
      </c>
      <c r="M15" s="52">
        <f>L15+E15</f>
        <v>166.18033333333335</v>
      </c>
      <c r="N15" s="17">
        <f>(M15/D$4)^E$4</f>
        <v>0.45040407301022128</v>
      </c>
      <c r="O15" s="17">
        <f>(L15/D$4)^E$4</f>
        <v>0.1621584503803245</v>
      </c>
      <c r="P15" s="32">
        <f t="shared" si="3"/>
        <v>0.7495774564398453</v>
      </c>
      <c r="Q15" s="53">
        <f>R14*(1-AF15*C$5)</f>
        <v>96.513666666666666</v>
      </c>
      <c r="R15" s="54">
        <f>Q15+E15</f>
        <v>166.18033333333335</v>
      </c>
      <c r="S15" s="16">
        <f>(R15/D$5)^E$5</f>
        <v>1.4405950546284723</v>
      </c>
      <c r="T15" s="16">
        <f>(Q15/D$5)^E$5</f>
        <v>0.38466639741522679</v>
      </c>
      <c r="U15" s="35">
        <f t="shared" si="4"/>
        <v>0.34786922599182574</v>
      </c>
      <c r="V15" s="55">
        <f>W14*(1-AG15*C$6)</f>
        <v>96.513666666666666</v>
      </c>
      <c r="W15" s="56">
        <f>V15+E15</f>
        <v>166.18033333333335</v>
      </c>
      <c r="X15" s="18">
        <f>(W15/D$6)^E$6</f>
        <v>8.0887834807274281E-2</v>
      </c>
      <c r="Y15" s="18">
        <f>(V15/D$6)^E$6</f>
        <v>2.0456270597330725E-2</v>
      </c>
      <c r="Z15" s="38">
        <f t="shared" si="5"/>
        <v>0.94135818940546856</v>
      </c>
      <c r="AA15" s="41">
        <f t="shared" si="6"/>
        <v>0.82100545318209728</v>
      </c>
      <c r="AB15" s="42">
        <f>1-AA15</f>
        <v>0.17899454681790272</v>
      </c>
      <c r="AC15" s="47">
        <f>(AF15*F$5)+E15+AC14</f>
        <v>271.33333333333331</v>
      </c>
      <c r="AD15" s="80">
        <v>1</v>
      </c>
      <c r="AE15" s="45">
        <v>1</v>
      </c>
      <c r="AF15" s="81">
        <v>1</v>
      </c>
      <c r="AG15" s="45">
        <v>1</v>
      </c>
      <c r="AH15" s="82">
        <v>85</v>
      </c>
    </row>
    <row r="16" spans="1:34" ht="19.5" thickBot="1" x14ac:dyDescent="0.35">
      <c r="A16" s="132" t="s">
        <v>145</v>
      </c>
      <c r="B16" s="132"/>
      <c r="C16" s="132"/>
      <c r="D16" s="132"/>
      <c r="E16" s="132"/>
      <c r="F16" s="132"/>
      <c r="G16" s="132"/>
      <c r="H16" s="132"/>
      <c r="I16" s="132"/>
      <c r="J16" s="132"/>
      <c r="AB16" s="122"/>
      <c r="AC16" s="124"/>
      <c r="AD16" s="125"/>
      <c r="AE16" s="45"/>
      <c r="AF16" s="81"/>
      <c r="AG16" s="45"/>
    </row>
    <row r="17" spans="1:21" ht="15.75" x14ac:dyDescent="0.25">
      <c r="A17" s="19" t="s">
        <v>54</v>
      </c>
      <c r="B17" s="60" t="s">
        <v>49</v>
      </c>
      <c r="C17" s="61" t="s">
        <v>50</v>
      </c>
      <c r="D17" s="19" t="s">
        <v>58</v>
      </c>
      <c r="E17" s="60" t="s">
        <v>57</v>
      </c>
      <c r="F17" s="61" t="s">
        <v>50</v>
      </c>
      <c r="G17" s="19" t="s">
        <v>48</v>
      </c>
      <c r="H17" s="60" t="s">
        <v>61</v>
      </c>
      <c r="I17" s="61" t="s">
        <v>50</v>
      </c>
      <c r="J17" s="19" t="s">
        <v>82</v>
      </c>
      <c r="K17" s="83" t="s">
        <v>84</v>
      </c>
      <c r="L17" s="61" t="s">
        <v>50</v>
      </c>
      <c r="M17" s="61" t="s">
        <v>85</v>
      </c>
      <c r="O17" s="133" t="s">
        <v>64</v>
      </c>
      <c r="P17" s="133"/>
      <c r="Q17" s="134" t="s">
        <v>109</v>
      </c>
      <c r="R17" s="134"/>
    </row>
    <row r="18" spans="1:21" ht="24.75" x14ac:dyDescent="0.25">
      <c r="A18" s="61" t="s">
        <v>51</v>
      </c>
      <c r="B18" s="1">
        <f>AA12</f>
        <v>0.14843936060744001</v>
      </c>
      <c r="C18" s="59">
        <f>MAX(AC12+1*L5-F12,0)</f>
        <v>0</v>
      </c>
      <c r="D18" s="62" t="s">
        <v>55</v>
      </c>
      <c r="E18" s="1">
        <f>AA12*AA13</f>
        <v>6.1849923654862221E-2</v>
      </c>
      <c r="F18" s="1">
        <f>MAX(AC13+2*L5-F13,0)</f>
        <v>26.666666666666657</v>
      </c>
      <c r="G18" s="62" t="s">
        <v>59</v>
      </c>
      <c r="H18" s="1">
        <f>AA12*AA13*AA14</f>
        <v>4.6078880551390762E-2</v>
      </c>
      <c r="I18" s="1">
        <f>AC14+3*L5-F14</f>
        <v>153.66666666666666</v>
      </c>
      <c r="J18" s="62" t="s">
        <v>83</v>
      </c>
      <c r="K18" s="1">
        <f>AA12*AA13*AA14*AA15</f>
        <v>3.78310122092183E-2</v>
      </c>
      <c r="L18" s="1">
        <f>AC15+4*L5-F15</f>
        <v>179.33333333333331</v>
      </c>
      <c r="M18" s="1">
        <f>B18*C18*AH12+E18*F18*AH13+H18*I18*AH14+K18*L18*AH15</f>
        <v>1041.3286912859953</v>
      </c>
      <c r="O18" s="1" t="s">
        <v>27</v>
      </c>
      <c r="P18" s="1">
        <f>3*H3</f>
        <v>5460</v>
      </c>
      <c r="Q18" s="1" t="s">
        <v>141</v>
      </c>
      <c r="R18" s="1">
        <f>S$18*AA12</f>
        <v>5231.7452646092233</v>
      </c>
      <c r="S18">
        <f>G3*(J3*K3+L3)+I3</f>
        <v>35245</v>
      </c>
    </row>
    <row r="19" spans="1:21" ht="24.75" x14ac:dyDescent="0.25">
      <c r="A19" s="62" t="s">
        <v>52</v>
      </c>
      <c r="B19" s="1">
        <f>AB12</f>
        <v>0.85156063939255999</v>
      </c>
      <c r="C19" s="59">
        <f>MAX(AC12-F12,0)</f>
        <v>0</v>
      </c>
      <c r="D19" s="62" t="s">
        <v>56</v>
      </c>
      <c r="E19" s="1">
        <f>AA12*AB13+AA13*AB12</f>
        <v>0.44140746040932688</v>
      </c>
      <c r="F19" s="1">
        <f>MAX(AC13+1*L5-F13,0)</f>
        <v>14.666666666666657</v>
      </c>
      <c r="G19" s="62" t="s">
        <v>60</v>
      </c>
      <c r="H19" s="1">
        <f>AA12*AA13*AB14+AA13*AA14*AB12+AA12*AA14*AB13</f>
        <v>0.3446245071140962</v>
      </c>
      <c r="I19" s="1">
        <f>AC14+2*L5-F14</f>
        <v>141.66666666666666</v>
      </c>
      <c r="J19" s="62" t="s">
        <v>59</v>
      </c>
      <c r="K19">
        <f>AB12*AA13*AA14*AA15+AB13*AA12*AA14*AA15+AB14*AA12*AA13*AA15+AB15*AA12*AA13*AA14</f>
        <v>0.29118646798303793</v>
      </c>
      <c r="L19" s="1">
        <f>AC15+3*L5-F15</f>
        <v>167.33333333333331</v>
      </c>
      <c r="M19" s="1">
        <f>B19*C19*AH12+E19*F19*AH13+H19*I19*AH14+K19*L19*AH15</f>
        <v>6806.6517727190012</v>
      </c>
      <c r="O19" s="1" t="s">
        <v>28</v>
      </c>
      <c r="P19" s="1">
        <f>3*H4</f>
        <v>8160</v>
      </c>
      <c r="Q19" s="1" t="s">
        <v>142</v>
      </c>
      <c r="R19" s="1">
        <f t="shared" ref="R19:R21" si="7">S$18*AA13</f>
        <v>14685.461795948742</v>
      </c>
    </row>
    <row r="20" spans="1:21" ht="24.75" x14ac:dyDescent="0.25">
      <c r="A20" s="1"/>
      <c r="B20" s="1"/>
      <c r="C20" s="1"/>
      <c r="D20" s="62" t="s">
        <v>52</v>
      </c>
      <c r="E20" s="1">
        <f>AB12*AB13</f>
        <v>0.49674261593581087</v>
      </c>
      <c r="F20" s="59">
        <f>MAX(AC13-F13,0)</f>
        <v>2.6666666666666572</v>
      </c>
      <c r="G20" s="62" t="s">
        <v>56</v>
      </c>
      <c r="H20" s="1">
        <f>AA12*AB13*AB14+AA13*AB12*AB14+AA14*AB12*AB13</f>
        <v>0.4826327662969444</v>
      </c>
      <c r="I20" s="1">
        <f>AC14+1*L5-F14</f>
        <v>129.66666666666666</v>
      </c>
      <c r="J20" s="62" t="s">
        <v>60</v>
      </c>
      <c r="K20" s="1">
        <f>AA12*AA13*AB14*AB15 + AA12*AA14*AB13*AB15 + AA12*AA15*AB13*AB14 + AA13*AA14*AB12*AB15 + AA13*AA15*AB12*AB14 + AA14*AA15*AB12*AB13</f>
        <v>0.45793004048738278</v>
      </c>
      <c r="L20" s="1">
        <f>AC15+2*L5-F15</f>
        <v>155.33333333333331</v>
      </c>
      <c r="M20" s="1">
        <f>B20*C20*AH12+E20*F20*AH13+H20*I20*AH14+K20*L20*AH15</f>
        <v>8695.169416436398</v>
      </c>
      <c r="O20" s="1" t="s">
        <v>29</v>
      </c>
      <c r="P20" s="1">
        <f>3*(F5*(J3*K3+L3)+H5)</f>
        <v>42300</v>
      </c>
      <c r="Q20" s="1" t="s">
        <v>143</v>
      </c>
      <c r="R20" s="1">
        <f t="shared" si="7"/>
        <v>26257.916729151788</v>
      </c>
    </row>
    <row r="21" spans="1:21" ht="24.75" x14ac:dyDescent="0.25">
      <c r="A21" s="1"/>
      <c r="B21" s="1"/>
      <c r="C21" s="1"/>
      <c r="D21" s="1"/>
      <c r="E21" s="1"/>
      <c r="F21" s="1"/>
      <c r="G21" s="62" t="s">
        <v>52</v>
      </c>
      <c r="H21" s="1">
        <f>AB12*AB13*AB14</f>
        <v>0.12666384603756858</v>
      </c>
      <c r="I21" s="63">
        <f>AC14-F14</f>
        <v>117.66666666666666</v>
      </c>
      <c r="J21" s="62" t="s">
        <v>56</v>
      </c>
      <c r="K21" s="1">
        <f>AA12*AB13*AB14*AB15+AA13*AB12*AB14*AB15+AA14*AB12*AB13*AB15+AA15*AB12*AB13*AB14</f>
        <v>0.1903803416006537</v>
      </c>
      <c r="L21" s="1">
        <f>AC15+1*L5-F15</f>
        <v>143.33333333333331</v>
      </c>
      <c r="M21" s="1">
        <f>B21*C21*AH12+E21*F21*AH13+H21*I21*AH14+K21*L21*AH15</f>
        <v>2915.6316638514536</v>
      </c>
      <c r="O21" s="1" t="s">
        <v>30</v>
      </c>
      <c r="P21" s="1">
        <f>3*H6</f>
        <v>12960</v>
      </c>
      <c r="Q21" s="1" t="s">
        <v>144</v>
      </c>
      <c r="R21" s="1">
        <f t="shared" si="7"/>
        <v>28936.33719740302</v>
      </c>
    </row>
    <row r="22" spans="1:21" ht="30" x14ac:dyDescent="0.25">
      <c r="I22" s="84"/>
      <c r="J22" s="62" t="s">
        <v>52</v>
      </c>
      <c r="K22" s="85">
        <f>AB12*AB13*AB14*AB15</f>
        <v>2.2672137719707192E-2</v>
      </c>
      <c r="L22" s="1">
        <f>AC15+0*L5-F15</f>
        <v>131.33333333333331</v>
      </c>
      <c r="M22" s="1">
        <f>B22*C22*AH12+E22*F22*AH13+H22*I22*AH14+K22*L22*AH15</f>
        <v>253.09663074433126</v>
      </c>
      <c r="O22" s="116" t="s">
        <v>65</v>
      </c>
      <c r="P22" s="117">
        <f>SUM(P18:P21)</f>
        <v>68880</v>
      </c>
      <c r="Q22" s="114" t="s">
        <v>108</v>
      </c>
      <c r="R22" s="115">
        <f>SUM(R18:R21)</f>
        <v>75111.460987112776</v>
      </c>
      <c r="T22" t="s">
        <v>134</v>
      </c>
      <c r="U22">
        <f>R22/AC15</f>
        <v>276.82356629157044</v>
      </c>
    </row>
    <row r="23" spans="1:21" x14ac:dyDescent="0.25">
      <c r="L23" s="135" t="s">
        <v>63</v>
      </c>
      <c r="M23" s="136">
        <f>SUM(M18:M22)</f>
        <v>19711.878175037178</v>
      </c>
      <c r="T23" t="s">
        <v>136</v>
      </c>
      <c r="U23">
        <f>P22/AC15</f>
        <v>253.85749385749386</v>
      </c>
    </row>
    <row r="24" spans="1:21" ht="15.75" customHeight="1" x14ac:dyDescent="0.25">
      <c r="A24" s="137" t="s">
        <v>90</v>
      </c>
      <c r="B24" s="137"/>
      <c r="C24" s="137"/>
      <c r="D24" s="137"/>
      <c r="L24" s="135"/>
      <c r="M24" s="136"/>
      <c r="T24" t="s">
        <v>138</v>
      </c>
      <c r="U24" t="e">
        <f>#REF!/AC15</f>
        <v>#REF!</v>
      </c>
    </row>
    <row r="25" spans="1:21" ht="27.75" customHeight="1" x14ac:dyDescent="0.25">
      <c r="A25" s="118" t="s">
        <v>32</v>
      </c>
      <c r="B25" s="119" t="s">
        <v>44</v>
      </c>
      <c r="C25" s="121" t="s">
        <v>35</v>
      </c>
      <c r="D25" s="120" t="s">
        <v>137</v>
      </c>
      <c r="O25" s="131" t="s">
        <v>81</v>
      </c>
      <c r="P25" s="131"/>
      <c r="Q25" s="131">
        <f>(R22+P22+M23+D30)/AC15</f>
        <v>1070.4668519489555</v>
      </c>
      <c r="R25" s="131"/>
    </row>
    <row r="26" spans="1:21" x14ac:dyDescent="0.25">
      <c r="A26" s="120">
        <v>3</v>
      </c>
      <c r="B26" s="120">
        <v>45.666666666666664</v>
      </c>
      <c r="C26" s="120">
        <v>95</v>
      </c>
      <c r="D26" s="120">
        <v>0</v>
      </c>
    </row>
    <row r="27" spans="1:21" x14ac:dyDescent="0.25">
      <c r="A27" s="120">
        <v>1</v>
      </c>
      <c r="B27" s="120">
        <v>108.66666666666666</v>
      </c>
      <c r="C27" s="120">
        <v>106</v>
      </c>
      <c r="D27" s="120">
        <f>(B27-C27)*1.5*250</f>
        <v>999.99999999999648</v>
      </c>
    </row>
    <row r="28" spans="1:21" x14ac:dyDescent="0.25">
      <c r="A28" s="120">
        <v>2</v>
      </c>
      <c r="B28" s="120">
        <v>193.66666666666666</v>
      </c>
      <c r="C28" s="120">
        <v>76</v>
      </c>
      <c r="D28" s="120">
        <f>1.5*((B28-B27)*250+(B27-C28)*500)</f>
        <v>56374.999999999993</v>
      </c>
    </row>
    <row r="29" spans="1:21" x14ac:dyDescent="0.25">
      <c r="A29" s="120">
        <v>4</v>
      </c>
      <c r="B29" s="120">
        <v>271.33333333333331</v>
      </c>
      <c r="C29" s="120">
        <v>140</v>
      </c>
      <c r="D29" s="120">
        <f>1.5*((B29-B28)*250+(B28-C29)*500)</f>
        <v>69374.999999999985</v>
      </c>
    </row>
    <row r="30" spans="1:21" x14ac:dyDescent="0.25">
      <c r="A30" s="128" t="s">
        <v>80</v>
      </c>
      <c r="B30" s="129"/>
      <c r="C30" s="130"/>
      <c r="D30" s="123">
        <f>SUM(D26:D29)</f>
        <v>126749.99999999997</v>
      </c>
    </row>
  </sheetData>
  <mergeCells count="31">
    <mergeCell ref="O25:P25"/>
    <mergeCell ref="Q25:R25"/>
    <mergeCell ref="A30:C30"/>
    <mergeCell ref="A16:J16"/>
    <mergeCell ref="O17:P17"/>
    <mergeCell ref="Q17:R17"/>
    <mergeCell ref="L23:L24"/>
    <mergeCell ref="M23:M24"/>
    <mergeCell ref="A24:D24"/>
    <mergeCell ref="AH10:AH11"/>
    <mergeCell ref="M5:M6"/>
    <mergeCell ref="N5:N6"/>
    <mergeCell ref="A8:A10"/>
    <mergeCell ref="B8:E10"/>
    <mergeCell ref="G10:K10"/>
    <mergeCell ref="L10:P10"/>
    <mergeCell ref="Q10:U10"/>
    <mergeCell ref="V10:Z10"/>
    <mergeCell ref="AA10:AB10"/>
    <mergeCell ref="AC10:AC11"/>
    <mergeCell ref="AD10:AG10"/>
    <mergeCell ref="A1:M1"/>
    <mergeCell ref="O1:V1"/>
    <mergeCell ref="O2:O3"/>
    <mergeCell ref="P2:P3"/>
    <mergeCell ref="Q2:Q3"/>
    <mergeCell ref="T2:T3"/>
    <mergeCell ref="G3:G6"/>
    <mergeCell ref="I3:I6"/>
    <mergeCell ref="K5:K6"/>
    <mergeCell ref="L5:L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topLeftCell="J1" workbookViewId="0">
      <selection activeCell="AC14" sqref="AC14"/>
    </sheetView>
  </sheetViews>
  <sheetFormatPr defaultRowHeight="15" x14ac:dyDescent="0.25"/>
  <cols>
    <col min="1" max="1" width="9.28515625" customWidth="1"/>
    <col min="2" max="2" width="12" bestFit="1" customWidth="1"/>
    <col min="3" max="3" width="9.85546875" customWidth="1"/>
    <col min="4" max="4" width="8.42578125" customWidth="1"/>
    <col min="5" max="6" width="12" bestFit="1" customWidth="1"/>
    <col min="7" max="7" width="11.5703125" bestFit="1" customWidth="1"/>
    <col min="8" max="8" width="12" bestFit="1" customWidth="1"/>
    <col min="9" max="9" width="16.28515625" customWidth="1"/>
    <col min="10" max="10" width="12.42578125" customWidth="1"/>
    <col min="11" max="11" width="12.5703125" bestFit="1" customWidth="1"/>
    <col min="12" max="12" width="14.42578125" customWidth="1"/>
    <col min="13" max="13" width="13.42578125" customWidth="1"/>
    <col min="14" max="16" width="12" bestFit="1" customWidth="1"/>
    <col min="17" max="17" width="12.28515625" customWidth="1"/>
    <col min="18" max="18" width="14.140625" customWidth="1"/>
    <col min="19" max="19" width="15.5703125" customWidth="1"/>
    <col min="20" max="20" width="12" bestFit="1" customWidth="1"/>
    <col min="21" max="21" width="14.28515625" bestFit="1" customWidth="1"/>
    <col min="22" max="22" width="7.85546875" customWidth="1"/>
    <col min="23" max="23" width="6.5703125" bestFit="1" customWidth="1"/>
    <col min="24" max="28" width="12" bestFit="1" customWidth="1"/>
    <col min="29" max="29" width="10.28515625" customWidth="1"/>
    <col min="30" max="33" width="3.140625" bestFit="1" customWidth="1"/>
  </cols>
  <sheetData>
    <row r="1" spans="1:34" ht="19.5" customHeight="1" x14ac:dyDescent="0.35">
      <c r="A1" s="165" t="s">
        <v>14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O1" s="166" t="s">
        <v>72</v>
      </c>
      <c r="P1" s="166"/>
      <c r="Q1" s="166"/>
      <c r="R1" s="166"/>
      <c r="S1" s="166"/>
      <c r="T1" s="166"/>
      <c r="U1" s="166"/>
      <c r="V1" s="166"/>
    </row>
    <row r="2" spans="1:34" ht="60" x14ac:dyDescent="0.25">
      <c r="A2" s="4" t="s">
        <v>15</v>
      </c>
      <c r="B2" s="4" t="s">
        <v>16</v>
      </c>
      <c r="C2" s="4" t="s">
        <v>31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6" t="s">
        <v>25</v>
      </c>
      <c r="M2" s="6" t="s">
        <v>26</v>
      </c>
      <c r="N2" s="8"/>
      <c r="O2" s="167" t="s">
        <v>32</v>
      </c>
      <c r="P2" s="167" t="s">
        <v>35</v>
      </c>
      <c r="Q2" s="167" t="s">
        <v>66</v>
      </c>
      <c r="R2" s="99" t="s">
        <v>67</v>
      </c>
      <c r="S2" s="99" t="s">
        <v>68</v>
      </c>
      <c r="T2" s="167" t="s">
        <v>69</v>
      </c>
      <c r="U2" s="71" t="s">
        <v>33</v>
      </c>
      <c r="V2" s="99" t="s">
        <v>70</v>
      </c>
    </row>
    <row r="3" spans="1:34" x14ac:dyDescent="0.25">
      <c r="A3" s="3" t="s">
        <v>27</v>
      </c>
      <c r="B3" s="3">
        <v>0</v>
      </c>
      <c r="C3" s="3">
        <v>0.3</v>
      </c>
      <c r="D3" s="3">
        <v>243</v>
      </c>
      <c r="E3" s="3">
        <v>1.73</v>
      </c>
      <c r="F3" s="3">
        <v>5</v>
      </c>
      <c r="G3" s="169">
        <v>12</v>
      </c>
      <c r="H3" s="3">
        <v>1820</v>
      </c>
      <c r="I3" s="169">
        <v>19645</v>
      </c>
      <c r="J3" s="3">
        <v>20</v>
      </c>
      <c r="K3" s="3">
        <v>40</v>
      </c>
      <c r="L3" s="3">
        <v>500</v>
      </c>
      <c r="M3" s="3">
        <v>1000</v>
      </c>
      <c r="O3" s="168"/>
      <c r="P3" s="168"/>
      <c r="Q3" s="168"/>
      <c r="R3" s="72" t="s">
        <v>71</v>
      </c>
      <c r="S3" s="72" t="s">
        <v>71</v>
      </c>
      <c r="T3" s="168"/>
      <c r="U3" s="73">
        <v>500</v>
      </c>
      <c r="V3" s="3">
        <v>1.5</v>
      </c>
    </row>
    <row r="4" spans="1:34" x14ac:dyDescent="0.25">
      <c r="A4" s="3" t="s">
        <v>28</v>
      </c>
      <c r="B4" s="3">
        <v>0</v>
      </c>
      <c r="C4" s="3">
        <v>0.3</v>
      </c>
      <c r="D4" s="3">
        <v>254</v>
      </c>
      <c r="E4" s="3">
        <v>1.88</v>
      </c>
      <c r="F4" s="3">
        <v>3</v>
      </c>
      <c r="G4" s="170"/>
      <c r="H4" s="3">
        <v>2720</v>
      </c>
      <c r="I4" s="170"/>
      <c r="J4" s="5"/>
      <c r="K4" s="5"/>
      <c r="L4" s="5"/>
      <c r="M4" s="5"/>
      <c r="O4" s="74">
        <v>1</v>
      </c>
      <c r="P4" s="74">
        <v>106</v>
      </c>
      <c r="Q4" s="74">
        <v>110</v>
      </c>
      <c r="R4" s="74">
        <v>6</v>
      </c>
      <c r="S4" s="74">
        <v>5</v>
      </c>
      <c r="T4" s="74">
        <f>R4*$U$3/60+S4</f>
        <v>55</v>
      </c>
      <c r="U4" s="75"/>
    </row>
    <row r="5" spans="1:34" x14ac:dyDescent="0.25">
      <c r="A5" s="3" t="s">
        <v>29</v>
      </c>
      <c r="B5" s="3">
        <v>0</v>
      </c>
      <c r="C5" s="3">
        <v>0.3</v>
      </c>
      <c r="D5" s="3">
        <v>143</v>
      </c>
      <c r="E5" s="3">
        <v>2.4300000000000002</v>
      </c>
      <c r="F5" s="3">
        <v>8</v>
      </c>
      <c r="G5" s="170"/>
      <c r="H5" s="3">
        <v>3700</v>
      </c>
      <c r="I5" s="170"/>
      <c r="J5" s="5"/>
      <c r="K5" s="140" t="s">
        <v>73</v>
      </c>
      <c r="L5" s="141">
        <v>12</v>
      </c>
      <c r="M5" s="140" t="s">
        <v>74</v>
      </c>
      <c r="N5" s="141">
        <v>19645</v>
      </c>
      <c r="O5" s="74">
        <v>2</v>
      </c>
      <c r="P5" s="74">
        <v>76</v>
      </c>
      <c r="Q5" s="74">
        <v>40</v>
      </c>
      <c r="R5" s="74">
        <v>9</v>
      </c>
      <c r="S5" s="74">
        <v>2</v>
      </c>
      <c r="T5" s="74">
        <f t="shared" ref="T5:T7" si="0">R5*$U$3/60+S5</f>
        <v>77</v>
      </c>
      <c r="U5" s="75"/>
    </row>
    <row r="6" spans="1:34" x14ac:dyDescent="0.25">
      <c r="A6" s="3" t="s">
        <v>30</v>
      </c>
      <c r="B6" s="3">
        <v>0</v>
      </c>
      <c r="C6" s="3">
        <v>0.3</v>
      </c>
      <c r="D6" s="3">
        <v>449</v>
      </c>
      <c r="E6" s="3">
        <v>2.5299999999999998</v>
      </c>
      <c r="F6" s="3">
        <v>4</v>
      </c>
      <c r="G6" s="171"/>
      <c r="H6" s="3">
        <v>4320</v>
      </c>
      <c r="I6" s="171"/>
      <c r="J6" s="5"/>
      <c r="K6" s="140"/>
      <c r="L6" s="141"/>
      <c r="M6" s="140"/>
      <c r="N6" s="141"/>
      <c r="O6" s="74">
        <v>3</v>
      </c>
      <c r="P6" s="74">
        <v>95</v>
      </c>
      <c r="Q6" s="74">
        <v>67</v>
      </c>
      <c r="R6" s="74">
        <v>5</v>
      </c>
      <c r="S6" s="74">
        <v>4</v>
      </c>
      <c r="T6" s="74">
        <f t="shared" si="0"/>
        <v>45.666666666666664</v>
      </c>
      <c r="U6" s="75"/>
    </row>
    <row r="7" spans="1:34" ht="15.75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O7" s="74">
        <v>4</v>
      </c>
      <c r="P7" s="74">
        <v>140</v>
      </c>
      <c r="Q7" s="94">
        <v>85</v>
      </c>
      <c r="R7" s="94">
        <v>8</v>
      </c>
      <c r="S7" s="94">
        <v>3</v>
      </c>
      <c r="T7" s="74">
        <f t="shared" si="0"/>
        <v>69.666666666666671</v>
      </c>
    </row>
    <row r="8" spans="1:34" ht="15.75" customHeight="1" x14ac:dyDescent="0.25">
      <c r="A8" s="142" t="s">
        <v>101</v>
      </c>
      <c r="B8" s="144" t="s">
        <v>107</v>
      </c>
      <c r="C8" s="144"/>
      <c r="D8" s="144"/>
      <c r="E8" s="144"/>
      <c r="F8" s="20" t="s">
        <v>27</v>
      </c>
      <c r="G8" s="20" t="s">
        <v>28</v>
      </c>
      <c r="H8" s="20" t="s">
        <v>29</v>
      </c>
      <c r="I8" s="20" t="s">
        <v>30</v>
      </c>
    </row>
    <row r="9" spans="1:34" ht="15.75" customHeight="1" thickBot="1" x14ac:dyDescent="0.3">
      <c r="A9" s="143"/>
      <c r="B9" s="145"/>
      <c r="C9" s="145"/>
      <c r="D9" s="145"/>
      <c r="E9" s="145"/>
      <c r="F9" s="20">
        <v>168</v>
      </c>
      <c r="G9" s="26">
        <v>84</v>
      </c>
      <c r="H9" s="26">
        <v>84</v>
      </c>
      <c r="I9" s="26">
        <v>252</v>
      </c>
    </row>
    <row r="10" spans="1:34" ht="15.75" customHeight="1" thickBot="1" x14ac:dyDescent="0.3">
      <c r="A10" s="143"/>
      <c r="B10" s="145"/>
      <c r="C10" s="145"/>
      <c r="D10" s="145"/>
      <c r="E10" s="145"/>
      <c r="F10" s="7"/>
      <c r="G10" s="146" t="s">
        <v>27</v>
      </c>
      <c r="H10" s="147"/>
      <c r="I10" s="147"/>
      <c r="J10" s="147"/>
      <c r="K10" s="148"/>
      <c r="L10" s="149" t="s">
        <v>28</v>
      </c>
      <c r="M10" s="150"/>
      <c r="N10" s="150"/>
      <c r="O10" s="150"/>
      <c r="P10" s="151"/>
      <c r="Q10" s="152" t="s">
        <v>29</v>
      </c>
      <c r="R10" s="153"/>
      <c r="S10" s="153"/>
      <c r="T10" s="153"/>
      <c r="U10" s="154"/>
      <c r="V10" s="155" t="s">
        <v>30</v>
      </c>
      <c r="W10" s="156"/>
      <c r="X10" s="156"/>
      <c r="Y10" s="156"/>
      <c r="Z10" s="157"/>
      <c r="AA10" s="158" t="s">
        <v>42</v>
      </c>
      <c r="AB10" s="159"/>
      <c r="AC10" s="160" t="s">
        <v>44</v>
      </c>
      <c r="AD10" s="162" t="s">
        <v>47</v>
      </c>
      <c r="AE10" s="163"/>
      <c r="AF10" s="163"/>
      <c r="AG10" s="164"/>
      <c r="AH10" s="138" t="s">
        <v>62</v>
      </c>
    </row>
    <row r="11" spans="1:34" ht="36.75" x14ac:dyDescent="0.25">
      <c r="A11" s="21" t="s">
        <v>32</v>
      </c>
      <c r="B11" s="22" t="s">
        <v>37</v>
      </c>
      <c r="C11" s="23" t="s">
        <v>33</v>
      </c>
      <c r="D11" s="22" t="s">
        <v>38</v>
      </c>
      <c r="E11" s="22" t="s">
        <v>34</v>
      </c>
      <c r="F11" s="25" t="s">
        <v>35</v>
      </c>
      <c r="G11" s="27" t="s">
        <v>39</v>
      </c>
      <c r="H11" s="10" t="s">
        <v>40</v>
      </c>
      <c r="I11" s="10" t="s">
        <v>45</v>
      </c>
      <c r="J11" s="10" t="s">
        <v>46</v>
      </c>
      <c r="K11" s="111" t="s">
        <v>43</v>
      </c>
      <c r="L11" s="30" t="s">
        <v>39</v>
      </c>
      <c r="M11" s="13" t="s">
        <v>40</v>
      </c>
      <c r="N11" s="13" t="s">
        <v>45</v>
      </c>
      <c r="O11" s="13" t="s">
        <v>46</v>
      </c>
      <c r="P11" s="112" t="s">
        <v>43</v>
      </c>
      <c r="Q11" s="33" t="s">
        <v>39</v>
      </c>
      <c r="R11" s="12" t="s">
        <v>40</v>
      </c>
      <c r="S11" s="12" t="s">
        <v>45</v>
      </c>
      <c r="T11" s="12" t="s">
        <v>46</v>
      </c>
      <c r="U11" s="34" t="s">
        <v>41</v>
      </c>
      <c r="V11" s="36" t="s">
        <v>39</v>
      </c>
      <c r="W11" s="11" t="s">
        <v>40</v>
      </c>
      <c r="X11" s="11" t="s">
        <v>45</v>
      </c>
      <c r="Y11" s="11" t="s">
        <v>46</v>
      </c>
      <c r="Z11" s="113" t="s">
        <v>43</v>
      </c>
      <c r="AA11" s="39" t="s">
        <v>41</v>
      </c>
      <c r="AB11" s="40" t="s">
        <v>43</v>
      </c>
      <c r="AC11" s="161"/>
      <c r="AD11" s="43" t="s">
        <v>27</v>
      </c>
      <c r="AE11" s="1" t="s">
        <v>28</v>
      </c>
      <c r="AF11" s="1" t="s">
        <v>29</v>
      </c>
      <c r="AG11" s="1" t="s">
        <v>30</v>
      </c>
      <c r="AH11" s="139"/>
    </row>
    <row r="12" spans="1:34" x14ac:dyDescent="0.25">
      <c r="A12" s="24">
        <v>3</v>
      </c>
      <c r="B12" s="9">
        <v>5</v>
      </c>
      <c r="C12" s="9">
        <v>500</v>
      </c>
      <c r="D12" s="9">
        <v>4</v>
      </c>
      <c r="E12" s="48">
        <f>B12*C12/60+D12</f>
        <v>45.666666666666664</v>
      </c>
      <c r="F12" s="14">
        <v>95</v>
      </c>
      <c r="G12" s="49">
        <f>B$3*(1-AD12*C$3)</f>
        <v>0</v>
      </c>
      <c r="H12" s="50">
        <f>G12+E12</f>
        <v>45.666666666666664</v>
      </c>
      <c r="I12" s="15">
        <f>(H12/D$3)^E$3</f>
        <v>5.5463587496332782E-2</v>
      </c>
      <c r="J12" s="15">
        <f>(G12/D$3)^E$3</f>
        <v>0</v>
      </c>
      <c r="K12" s="29">
        <f>EXP(J12-I12)</f>
        <v>0.94604647096386807</v>
      </c>
      <c r="L12" s="51">
        <f>B$4*(1-AE12*C$4)</f>
        <v>0</v>
      </c>
      <c r="M12" s="52">
        <f>L12+E12</f>
        <v>45.666666666666664</v>
      </c>
      <c r="N12" s="17">
        <f>(M12/D$4)^E$4</f>
        <v>3.9715434673642101E-2</v>
      </c>
      <c r="O12" s="17">
        <f>(L12/D$4)^E$4</f>
        <v>0</v>
      </c>
      <c r="P12" s="32">
        <f>EXP(O12-N12)</f>
        <v>0.96106288541745444</v>
      </c>
      <c r="Q12" s="53">
        <f>B$5*(1-AF12*C$5)</f>
        <v>0</v>
      </c>
      <c r="R12" s="54">
        <f>Q12+E12</f>
        <v>45.666666666666664</v>
      </c>
      <c r="S12" s="16">
        <f>(R12/D$5)^E$5</f>
        <v>6.2425173515745024E-2</v>
      </c>
      <c r="T12" s="16">
        <f>(Q12/D$5)^E$5</f>
        <v>0</v>
      </c>
      <c r="U12" s="35">
        <f>EXP(T12-S12)</f>
        <v>0.93948335842018305</v>
      </c>
      <c r="V12" s="55">
        <f>B$6*(1-AG12*C$6)</f>
        <v>0</v>
      </c>
      <c r="W12" s="56">
        <f>V12+E12</f>
        <v>45.666666666666664</v>
      </c>
      <c r="X12" s="18">
        <f>(W12/D$6)^E$6</f>
        <v>3.0803709406480337E-3</v>
      </c>
      <c r="Y12" s="18">
        <f>(V12/D$6)^E$6</f>
        <v>0</v>
      </c>
      <c r="Z12" s="38">
        <f>EXP(Y12-X12)</f>
        <v>0.99692436853422217</v>
      </c>
      <c r="AA12" s="41">
        <f>1-K12*P12*U12*Z12</f>
        <v>0.14843936060744001</v>
      </c>
      <c r="AB12" s="42">
        <f>1-AA12</f>
        <v>0.85156063939255999</v>
      </c>
      <c r="AC12" s="47">
        <f>(AD12*F$3+AE12*F$4+AF12*F$5+AG12*F$6)+E12</f>
        <v>45.666666666666664</v>
      </c>
      <c r="AD12" s="43">
        <v>0</v>
      </c>
      <c r="AE12" s="1">
        <v>0</v>
      </c>
      <c r="AF12" s="1">
        <v>0</v>
      </c>
      <c r="AG12" s="1">
        <v>0</v>
      </c>
      <c r="AH12" s="44">
        <v>67</v>
      </c>
    </row>
    <row r="13" spans="1:34" x14ac:dyDescent="0.25">
      <c r="A13" s="24">
        <v>1</v>
      </c>
      <c r="B13" s="9">
        <v>6</v>
      </c>
      <c r="C13" s="9">
        <v>500</v>
      </c>
      <c r="D13" s="9">
        <v>5</v>
      </c>
      <c r="E13" s="9">
        <f t="shared" ref="E13:E15" si="1">B13*C13/60+D13</f>
        <v>55</v>
      </c>
      <c r="F13" s="14">
        <v>106</v>
      </c>
      <c r="G13" s="49">
        <f>H12*(1-AD13*C$3)</f>
        <v>45.666666666666664</v>
      </c>
      <c r="H13" s="50">
        <f>G13+E13</f>
        <v>100.66666666666666</v>
      </c>
      <c r="I13" s="15">
        <f>(H13/D$3)^E$3</f>
        <v>0.21771752434165836</v>
      </c>
      <c r="J13" s="15">
        <f>(G13/D$3)^E$3</f>
        <v>5.5463587496332782E-2</v>
      </c>
      <c r="K13" s="29">
        <f t="shared" ref="K13:K15" si="2">EXP(J13-I13)</f>
        <v>0.85022527360118827</v>
      </c>
      <c r="L13" s="51">
        <f>M12*(1-AE13*C$4)</f>
        <v>31.966666666666661</v>
      </c>
      <c r="M13" s="52">
        <f>L13+E13</f>
        <v>86.966666666666669</v>
      </c>
      <c r="N13" s="17">
        <f>(M13/D$4)^E$4</f>
        <v>0.13332018959183325</v>
      </c>
      <c r="O13" s="17">
        <f>(L13/D$4)^E$4</f>
        <v>2.031157661785336E-2</v>
      </c>
      <c r="P13" s="32">
        <f t="shared" ref="P13:P15" si="3">EXP(O13-N13)</f>
        <v>0.89314296746574817</v>
      </c>
      <c r="Q13" s="53">
        <f>R12*(1-AF13*C$5)</f>
        <v>31.966666666666661</v>
      </c>
      <c r="R13" s="54">
        <f>Q13+E13</f>
        <v>86.966666666666669</v>
      </c>
      <c r="S13" s="16">
        <f>(R13/D$5)^E$5</f>
        <v>0.29864881248498298</v>
      </c>
      <c r="T13" s="16">
        <f>(Q13/D$5)^E$5</f>
        <v>2.6239043252001361E-2</v>
      </c>
      <c r="U13" s="35">
        <f t="shared" ref="U13:U15" si="4">EXP(T13-S13)</f>
        <v>0.76154214060667991</v>
      </c>
      <c r="V13" s="55">
        <f>W12*(1-AG13*C$6)</f>
        <v>45.666666666666664</v>
      </c>
      <c r="W13" s="56">
        <f>V13+E13</f>
        <v>100.66666666666666</v>
      </c>
      <c r="X13" s="18">
        <f>(W13/D$6)^E$6</f>
        <v>2.275713304339216E-2</v>
      </c>
      <c r="Y13" s="18">
        <f>(V13/D$6)^E$6</f>
        <v>3.0803709406480337E-3</v>
      </c>
      <c r="Z13" s="38">
        <f t="shared" ref="Z13:Z15" si="5">EXP(Y13-X13)</f>
        <v>0.98051556187724642</v>
      </c>
      <c r="AA13" s="41">
        <f t="shared" ref="AA13:AA15" si="6">1-K13*P13*U13*Z13</f>
        <v>0.43297341042222404</v>
      </c>
      <c r="AB13" s="42">
        <f>1-AA13</f>
        <v>0.56702658957777596</v>
      </c>
      <c r="AC13" s="47">
        <f>AF13*F$5+E13+AC12</f>
        <v>108.66666666666666</v>
      </c>
      <c r="AD13" s="43">
        <v>0</v>
      </c>
      <c r="AE13" s="1">
        <v>1</v>
      </c>
      <c r="AF13" s="1">
        <v>1</v>
      </c>
      <c r="AG13" s="1">
        <v>0</v>
      </c>
      <c r="AH13" s="44">
        <v>110</v>
      </c>
    </row>
    <row r="14" spans="1:34" x14ac:dyDescent="0.25">
      <c r="A14" s="57">
        <v>2</v>
      </c>
      <c r="B14" s="58">
        <v>9</v>
      </c>
      <c r="C14" s="58">
        <v>500</v>
      </c>
      <c r="D14" s="58">
        <v>2</v>
      </c>
      <c r="E14" s="66">
        <f t="shared" si="1"/>
        <v>77</v>
      </c>
      <c r="F14" s="67">
        <v>76</v>
      </c>
      <c r="G14" s="68">
        <f>H13*(1-AD14*C$3)</f>
        <v>70.466666666666654</v>
      </c>
      <c r="H14" s="69">
        <f>G14+E14</f>
        <v>147.46666666666664</v>
      </c>
      <c r="I14" s="70">
        <f>(H14/D$3)^E$3</f>
        <v>0.42144560641664969</v>
      </c>
      <c r="J14" s="70">
        <f>(G14/D$3)^E$3</f>
        <v>0.11746622079432449</v>
      </c>
      <c r="K14" s="29">
        <f t="shared" si="2"/>
        <v>0.73787607714994263</v>
      </c>
      <c r="L14" s="51">
        <f>M13*(1-AE14*C$4)</f>
        <v>60.876666666666665</v>
      </c>
      <c r="M14" s="52">
        <f>L14+E14</f>
        <v>137.87666666666667</v>
      </c>
      <c r="N14" s="17">
        <f>(M14/D$4)^E$4</f>
        <v>0.31707008589367913</v>
      </c>
      <c r="O14" s="17">
        <f>(L14/D$4)^E$4</f>
        <v>6.8183648696118551E-2</v>
      </c>
      <c r="P14" s="32">
        <f t="shared" si="3"/>
        <v>0.77966850969832435</v>
      </c>
      <c r="Q14" s="53">
        <f>R13*(1-AF14*C$5)</f>
        <v>60.876666666666665</v>
      </c>
      <c r="R14" s="54">
        <f>Q14+E14</f>
        <v>137.87666666666667</v>
      </c>
      <c r="S14" s="16">
        <f>(R14/D$5)^E$5</f>
        <v>0.91515785746077072</v>
      </c>
      <c r="T14" s="16">
        <f>(Q14/D$5)^E$5</f>
        <v>0.12553043374362163</v>
      </c>
      <c r="U14" s="35">
        <f t="shared" si="4"/>
        <v>0.45401391859288415</v>
      </c>
      <c r="V14" s="55">
        <f>W13*(1-AG14*C$6)</f>
        <v>100.66666666666666</v>
      </c>
      <c r="W14" s="56">
        <f>V14+E14</f>
        <v>177.66666666666666</v>
      </c>
      <c r="X14" s="18">
        <f>(W14/D$6)^E$6</f>
        <v>9.5789922449281015E-2</v>
      </c>
      <c r="Y14" s="18">
        <f>(V14/D$6)^E$6</f>
        <v>2.275713304339216E-2</v>
      </c>
      <c r="Z14" s="38">
        <f t="shared" si="5"/>
        <v>0.92957034946658479</v>
      </c>
      <c r="AA14" s="41">
        <f t="shared" si="6"/>
        <v>0.75720214055084467</v>
      </c>
      <c r="AB14" s="42">
        <f>1-AA14</f>
        <v>0.24279785944915533</v>
      </c>
      <c r="AC14" s="47">
        <f>(AF14*F$5)+E14+AC13</f>
        <v>193.66666666666666</v>
      </c>
      <c r="AD14" s="77">
        <v>1</v>
      </c>
      <c r="AE14" s="78">
        <v>1</v>
      </c>
      <c r="AF14" s="78">
        <v>1</v>
      </c>
      <c r="AG14" s="78">
        <v>0</v>
      </c>
      <c r="AH14" s="79">
        <v>40</v>
      </c>
    </row>
    <row r="15" spans="1:34" ht="15.75" thickBot="1" x14ac:dyDescent="0.3">
      <c r="A15" s="76">
        <v>4</v>
      </c>
      <c r="B15" s="58">
        <v>8</v>
      </c>
      <c r="C15" s="58">
        <v>500</v>
      </c>
      <c r="D15" s="58">
        <v>3</v>
      </c>
      <c r="E15" s="66">
        <f t="shared" si="1"/>
        <v>69.666666666666671</v>
      </c>
      <c r="F15" s="67">
        <v>140</v>
      </c>
      <c r="G15" s="68">
        <f>H14*(1-AD15*C$3)</f>
        <v>147.46666666666664</v>
      </c>
      <c r="H15" s="69">
        <f>G15+E15</f>
        <v>217.13333333333333</v>
      </c>
      <c r="I15" s="70">
        <f>(H15/D$3)^E$3</f>
        <v>0.82307230911453166</v>
      </c>
      <c r="J15" s="70">
        <f>(G15/D$3)^E$3</f>
        <v>0.42144560641664969</v>
      </c>
      <c r="K15" s="29">
        <f t="shared" si="2"/>
        <v>0.66923052101520875</v>
      </c>
      <c r="L15" s="51">
        <f>M14*(1-AE15*C$4)</f>
        <v>96.513666666666666</v>
      </c>
      <c r="M15" s="52">
        <f>L15+E15</f>
        <v>166.18033333333335</v>
      </c>
      <c r="N15" s="17">
        <f>(M15/D$4)^E$4</f>
        <v>0.45040407301022128</v>
      </c>
      <c r="O15" s="17">
        <f>(L15/D$4)^E$4</f>
        <v>0.1621584503803245</v>
      </c>
      <c r="P15" s="32">
        <f t="shared" si="3"/>
        <v>0.7495774564398453</v>
      </c>
      <c r="Q15" s="53">
        <f>R14*(1-AF15*C$5)</f>
        <v>96.513666666666666</v>
      </c>
      <c r="R15" s="54">
        <f>Q15+E15</f>
        <v>166.18033333333335</v>
      </c>
      <c r="S15" s="16">
        <f>(R15/D$5)^E$5</f>
        <v>1.4405950546284723</v>
      </c>
      <c r="T15" s="16">
        <f>(Q15/D$5)^E$5</f>
        <v>0.38466639741522679</v>
      </c>
      <c r="U15" s="35">
        <f t="shared" si="4"/>
        <v>0.34786922599182574</v>
      </c>
      <c r="V15" s="55">
        <f>W14*(1-AG15*C$6)</f>
        <v>124.36666666666665</v>
      </c>
      <c r="W15" s="56">
        <f>V15+E15</f>
        <v>194.0333333333333</v>
      </c>
      <c r="X15" s="18">
        <f>(W15/D$6)^E$6</f>
        <v>0.11971371522436358</v>
      </c>
      <c r="Y15" s="18">
        <f>(V15/D$6)^E$6</f>
        <v>3.8852401036237806E-2</v>
      </c>
      <c r="Z15" s="38">
        <f t="shared" si="5"/>
        <v>0.92232159549444481</v>
      </c>
      <c r="AA15" s="41">
        <f t="shared" si="6"/>
        <v>0.83905012481536168</v>
      </c>
      <c r="AB15" s="42">
        <f>1-AA15</f>
        <v>0.16094987518463832</v>
      </c>
      <c r="AC15" s="47">
        <f>(AF15*F$5)+E15+AC14</f>
        <v>271.33333333333331</v>
      </c>
      <c r="AD15" s="80">
        <v>0</v>
      </c>
      <c r="AE15" s="45">
        <v>1</v>
      </c>
      <c r="AF15" s="81">
        <v>1</v>
      </c>
      <c r="AG15" s="45">
        <v>1</v>
      </c>
      <c r="AH15" s="82">
        <v>85</v>
      </c>
    </row>
    <row r="16" spans="1:34" ht="19.5" thickBot="1" x14ac:dyDescent="0.35">
      <c r="A16" s="132" t="s">
        <v>145</v>
      </c>
      <c r="B16" s="132"/>
      <c r="C16" s="132"/>
      <c r="D16" s="132"/>
      <c r="E16" s="132"/>
      <c r="F16" s="132"/>
      <c r="G16" s="132"/>
      <c r="H16" s="132"/>
      <c r="I16" s="132"/>
      <c r="J16" s="132"/>
      <c r="AB16" s="122"/>
      <c r="AC16" s="124"/>
      <c r="AD16" s="125"/>
      <c r="AE16" s="45"/>
      <c r="AF16" s="81"/>
      <c r="AG16" s="45"/>
    </row>
    <row r="17" spans="1:21" ht="15.75" x14ac:dyDescent="0.25">
      <c r="A17" s="19" t="s">
        <v>54</v>
      </c>
      <c r="B17" s="60" t="s">
        <v>49</v>
      </c>
      <c r="C17" s="61" t="s">
        <v>50</v>
      </c>
      <c r="D17" s="19" t="s">
        <v>58</v>
      </c>
      <c r="E17" s="60" t="s">
        <v>57</v>
      </c>
      <c r="F17" s="61" t="s">
        <v>50</v>
      </c>
      <c r="G17" s="19" t="s">
        <v>48</v>
      </c>
      <c r="H17" s="60" t="s">
        <v>61</v>
      </c>
      <c r="I17" s="61" t="s">
        <v>50</v>
      </c>
      <c r="J17" s="19" t="s">
        <v>82</v>
      </c>
      <c r="K17" s="83" t="s">
        <v>84</v>
      </c>
      <c r="L17" s="61" t="s">
        <v>50</v>
      </c>
      <c r="M17" s="61" t="s">
        <v>85</v>
      </c>
      <c r="O17" s="133" t="s">
        <v>64</v>
      </c>
      <c r="P17" s="133"/>
      <c r="Q17" s="134" t="s">
        <v>109</v>
      </c>
      <c r="R17" s="134"/>
    </row>
    <row r="18" spans="1:21" ht="24.75" x14ac:dyDescent="0.25">
      <c r="A18" s="61" t="s">
        <v>51</v>
      </c>
      <c r="B18" s="1">
        <f>AA12</f>
        <v>0.14843936060744001</v>
      </c>
      <c r="C18" s="59">
        <f>MAX(AC12+1*L5-F12,0)</f>
        <v>0</v>
      </c>
      <c r="D18" s="62" t="s">
        <v>55</v>
      </c>
      <c r="E18" s="1">
        <f>AA12*AA13</f>
        <v>6.427029620309764E-2</v>
      </c>
      <c r="F18" s="1">
        <f>MAX(AC13+2*L5-F13,0)</f>
        <v>26.666666666666657</v>
      </c>
      <c r="G18" s="62" t="s">
        <v>59</v>
      </c>
      <c r="H18" s="1">
        <f>AA12*AA13*AA14</f>
        <v>4.8665605858822361E-2</v>
      </c>
      <c r="I18" s="1">
        <f>AC14+3*L5-F14</f>
        <v>153.66666666666666</v>
      </c>
      <c r="J18" s="62" t="s">
        <v>83</v>
      </c>
      <c r="K18" s="1">
        <f>AA12*AA13*AA14*AA15</f>
        <v>4.0832882670060099E-2</v>
      </c>
      <c r="L18" s="1">
        <f>AC15+4*L5-F15</f>
        <v>179.33333333333331</v>
      </c>
      <c r="M18" s="1">
        <f>B18*C18*AH12+E18*F18*AH13+H18*I18*AH14+K18*L18*AH15</f>
        <v>1110.0867010419306</v>
      </c>
      <c r="O18" s="1" t="s">
        <v>27</v>
      </c>
      <c r="P18" s="1">
        <f>1*H3</f>
        <v>1820</v>
      </c>
      <c r="Q18" s="1" t="s">
        <v>141</v>
      </c>
      <c r="R18" s="1">
        <f>S$18*AA12</f>
        <v>5231.7452646092233</v>
      </c>
      <c r="S18">
        <f>G3*(J3*K3+L3)+I3</f>
        <v>35245</v>
      </c>
    </row>
    <row r="19" spans="1:21" ht="24.75" x14ac:dyDescent="0.25">
      <c r="A19" s="62" t="s">
        <v>52</v>
      </c>
      <c r="B19" s="1">
        <f>AB12</f>
        <v>0.85156063939255999</v>
      </c>
      <c r="C19" s="59">
        <f>MAX(AC12-F12,0)</f>
        <v>0</v>
      </c>
      <c r="D19" s="62" t="s">
        <v>56</v>
      </c>
      <c r="E19" s="1">
        <f>AA12*AB13+AA13*AB12</f>
        <v>0.45287217862346874</v>
      </c>
      <c r="F19" s="1">
        <f>MAX(AC13+1*L5-F13,0)</f>
        <v>14.666666666666657</v>
      </c>
      <c r="G19" s="62" t="s">
        <v>60</v>
      </c>
      <c r="H19" s="1">
        <f>AA12*AA13*AB14+AA13*AA14*AB12+AA12*AA14*AB13</f>
        <v>0.35852047339389037</v>
      </c>
      <c r="I19" s="1">
        <f>AC14+2*L5-F14</f>
        <v>141.66666666666666</v>
      </c>
      <c r="J19" s="62" t="s">
        <v>59</v>
      </c>
      <c r="K19">
        <f>AB12*AA13*AA14*AA15+AB13*AA12*AA14*AA15+AB14*AA12*AA13*AA15+AB15*AA12*AA13*AA14</f>
        <v>0.3086493711387685</v>
      </c>
      <c r="L19" s="1">
        <f>AC15+3*L5-F15</f>
        <v>167.33333333333331</v>
      </c>
      <c r="M19" s="1">
        <f>B19*C19*AH12+E19*F19*AH13+H19*I19*AH14+K19*L19*AH15</f>
        <v>7152.2726862416575</v>
      </c>
      <c r="O19" s="1" t="s">
        <v>28</v>
      </c>
      <c r="P19" s="1">
        <f>3*H4</f>
        <v>8160</v>
      </c>
      <c r="Q19" s="1" t="s">
        <v>142</v>
      </c>
      <c r="R19" s="1">
        <f t="shared" ref="R19:R21" si="7">S$18*AA13</f>
        <v>15260.147850331286</v>
      </c>
    </row>
    <row r="20" spans="1:21" ht="24.75" x14ac:dyDescent="0.25">
      <c r="A20" s="1"/>
      <c r="B20" s="1"/>
      <c r="C20" s="1"/>
      <c r="D20" s="62" t="s">
        <v>52</v>
      </c>
      <c r="E20" s="1">
        <f>AB12*AB13</f>
        <v>0.48285752517343361</v>
      </c>
      <c r="F20" s="59">
        <f>MAX(AC13-F13,0)</f>
        <v>2.6666666666666572</v>
      </c>
      <c r="G20" s="62" t="s">
        <v>56</v>
      </c>
      <c r="H20" s="1">
        <f>AA12*AB13*AB14+AA13*AB12*AB14+AA14*AB12*AB13</f>
        <v>0.47557714721626099</v>
      </c>
      <c r="I20" s="1">
        <f>AC14+1*L5-F14</f>
        <v>129.66666666666666</v>
      </c>
      <c r="J20" s="62" t="s">
        <v>60</v>
      </c>
      <c r="K20" s="1">
        <f>AA12*AA13*AB14*AB15 + AA12*AA14*AB13*AB15 + AA12*AA15*AB13*AB14 + AA13*AA14*AB12*AB15 + AA13*AA15*AB12*AB14 + AA14*AA15*AB12*AB13</f>
        <v>0.4567368901750215</v>
      </c>
      <c r="L20" s="1">
        <f>AC15+2*L5-F15</f>
        <v>155.33333333333331</v>
      </c>
      <c r="M20" s="1">
        <f>B20*C20*AH12+E20*F20*AH13+H20*I20*AH14+K20*L20*AH15</f>
        <v>8638.7477508900793</v>
      </c>
      <c r="O20" s="1" t="s">
        <v>29</v>
      </c>
      <c r="P20" s="1">
        <f>3*(F5*(J3*K3+L3)+H5)</f>
        <v>42300</v>
      </c>
      <c r="Q20" s="1" t="s">
        <v>143</v>
      </c>
      <c r="R20" s="1">
        <f t="shared" si="7"/>
        <v>26687.589443714522</v>
      </c>
    </row>
    <row r="21" spans="1:21" ht="24.75" x14ac:dyDescent="0.25">
      <c r="A21" s="1"/>
      <c r="B21" s="1"/>
      <c r="C21" s="1"/>
      <c r="D21" s="1"/>
      <c r="E21" s="1"/>
      <c r="F21" s="1"/>
      <c r="G21" s="62" t="s">
        <v>52</v>
      </c>
      <c r="H21" s="1">
        <f>AB12*AB13*AB14</f>
        <v>0.11723677353102631</v>
      </c>
      <c r="I21" s="63">
        <f>AC14-F14</f>
        <v>117.66666666666666</v>
      </c>
      <c r="J21" s="62" t="s">
        <v>56</v>
      </c>
      <c r="K21" s="1">
        <f>AA12*AB13*AB14*AB15+AA13*AB12*AB14*AB15+AA14*AB12*AB13*AB15+AA15*AB12*AB13*AB14</f>
        <v>0.17491161194928148</v>
      </c>
      <c r="L21" s="1">
        <f>AC15+1*L5-F15</f>
        <v>143.33333333333331</v>
      </c>
      <c r="M21" s="1">
        <f>B21*C21*AH12+E21*F21*AH13+H21*I21*AH14+K21*L21*AH15</f>
        <v>2682.8008863347764</v>
      </c>
      <c r="O21" s="1" t="s">
        <v>30</v>
      </c>
      <c r="P21" s="1">
        <f>1*H6</f>
        <v>4320</v>
      </c>
      <c r="Q21" s="1" t="s">
        <v>144</v>
      </c>
      <c r="R21" s="1">
        <f t="shared" si="7"/>
        <v>29572.321649117421</v>
      </c>
    </row>
    <row r="22" spans="1:21" ht="30" x14ac:dyDescent="0.25">
      <c r="I22" s="84"/>
      <c r="J22" s="62" t="s">
        <v>52</v>
      </c>
      <c r="K22" s="85">
        <f>AB12*AB13*AB14*AB15</f>
        <v>1.8869244066868393E-2</v>
      </c>
      <c r="L22" s="1">
        <f>AC15+0*L5-F15</f>
        <v>131.33333333333331</v>
      </c>
      <c r="M22" s="1">
        <f>B22*C22*AH12+E22*F22*AH13+H22*I22*AH14+K22*L22*AH15</f>
        <v>210.64366126647414</v>
      </c>
      <c r="O22" s="116" t="s">
        <v>65</v>
      </c>
      <c r="P22" s="117">
        <f>SUM(P18:P21)</f>
        <v>56600</v>
      </c>
      <c r="Q22" s="114" t="s">
        <v>108</v>
      </c>
      <c r="R22" s="115">
        <f>SUM(R18:R21)</f>
        <v>76751.804207772453</v>
      </c>
      <c r="T22" t="s">
        <v>134</v>
      </c>
      <c r="U22">
        <f>R22/AC15</f>
        <v>282.86905727680266</v>
      </c>
    </row>
    <row r="23" spans="1:21" x14ac:dyDescent="0.25">
      <c r="L23" s="135" t="s">
        <v>63</v>
      </c>
      <c r="M23" s="136">
        <f>SUM(M18:M22)</f>
        <v>19794.551685774917</v>
      </c>
      <c r="T23" t="s">
        <v>136</v>
      </c>
      <c r="U23">
        <f>P22/AC15</f>
        <v>208.59950859950862</v>
      </c>
    </row>
    <row r="24" spans="1:21" ht="15.75" customHeight="1" x14ac:dyDescent="0.25">
      <c r="A24" s="137" t="s">
        <v>90</v>
      </c>
      <c r="B24" s="137"/>
      <c r="C24" s="137"/>
      <c r="D24" s="137"/>
      <c r="L24" s="135"/>
      <c r="M24" s="136"/>
      <c r="T24" t="s">
        <v>138</v>
      </c>
      <c r="U24" t="e">
        <f>#REF!/AC15</f>
        <v>#REF!</v>
      </c>
    </row>
    <row r="25" spans="1:21" ht="27.75" customHeight="1" x14ac:dyDescent="0.25">
      <c r="A25" s="118" t="s">
        <v>32</v>
      </c>
      <c r="B25" s="119" t="s">
        <v>44</v>
      </c>
      <c r="C25" s="121" t="s">
        <v>35</v>
      </c>
      <c r="D25" s="120" t="s">
        <v>137</v>
      </c>
      <c r="O25" s="131" t="s">
        <v>81</v>
      </c>
      <c r="P25" s="131"/>
      <c r="Q25" s="131">
        <f>(R22+P22+M23+D30)/AC15</f>
        <v>1031.5590512047199</v>
      </c>
      <c r="R25" s="131"/>
    </row>
    <row r="26" spans="1:21" x14ac:dyDescent="0.25">
      <c r="A26" s="120">
        <v>3</v>
      </c>
      <c r="B26" s="120">
        <v>45.666666666666664</v>
      </c>
      <c r="C26" s="120">
        <v>95</v>
      </c>
      <c r="D26" s="120">
        <v>0</v>
      </c>
    </row>
    <row r="27" spans="1:21" x14ac:dyDescent="0.25">
      <c r="A27" s="120">
        <v>1</v>
      </c>
      <c r="B27" s="120">
        <v>108.66666666666666</v>
      </c>
      <c r="C27" s="120">
        <v>106</v>
      </c>
      <c r="D27" s="120">
        <f>(B27-C27)*1.5*250</f>
        <v>999.99999999999648</v>
      </c>
    </row>
    <row r="28" spans="1:21" x14ac:dyDescent="0.25">
      <c r="A28" s="120">
        <v>2</v>
      </c>
      <c r="B28" s="120">
        <v>193.66666666666666</v>
      </c>
      <c r="C28" s="120">
        <v>76</v>
      </c>
      <c r="D28" s="120">
        <f>1.5*((B28-B27)*250+(B27-C28)*500)</f>
        <v>56374.999999999993</v>
      </c>
    </row>
    <row r="29" spans="1:21" x14ac:dyDescent="0.25">
      <c r="A29" s="120">
        <v>4</v>
      </c>
      <c r="B29" s="120">
        <v>271.33333333333331</v>
      </c>
      <c r="C29" s="120">
        <v>140</v>
      </c>
      <c r="D29" s="120">
        <f>1.5*((B29-B28)*250+(B28-C29)*500)</f>
        <v>69374.999999999985</v>
      </c>
    </row>
    <row r="30" spans="1:21" x14ac:dyDescent="0.25">
      <c r="A30" s="128" t="s">
        <v>80</v>
      </c>
      <c r="B30" s="129"/>
      <c r="C30" s="130"/>
      <c r="D30" s="123">
        <f>SUM(D26:D29)</f>
        <v>126749.99999999997</v>
      </c>
    </row>
  </sheetData>
  <mergeCells count="31">
    <mergeCell ref="O25:P25"/>
    <mergeCell ref="Q25:R25"/>
    <mergeCell ref="A30:C30"/>
    <mergeCell ref="A16:J16"/>
    <mergeCell ref="O17:P17"/>
    <mergeCell ref="Q17:R17"/>
    <mergeCell ref="L23:L24"/>
    <mergeCell ref="M23:M24"/>
    <mergeCell ref="A24:D24"/>
    <mergeCell ref="AH10:AH11"/>
    <mergeCell ref="M5:M6"/>
    <mergeCell ref="N5:N6"/>
    <mergeCell ref="A8:A10"/>
    <mergeCell ref="B8:E10"/>
    <mergeCell ref="G10:K10"/>
    <mergeCell ref="L10:P10"/>
    <mergeCell ref="Q10:U10"/>
    <mergeCell ref="V10:Z10"/>
    <mergeCell ref="AA10:AB10"/>
    <mergeCell ref="AC10:AC11"/>
    <mergeCell ref="AD10:AG10"/>
    <mergeCell ref="A1:M1"/>
    <mergeCell ref="O1:V1"/>
    <mergeCell ref="O2:O3"/>
    <mergeCell ref="P2:P3"/>
    <mergeCell ref="Q2:Q3"/>
    <mergeCell ref="T2:T3"/>
    <mergeCell ref="G3:G6"/>
    <mergeCell ref="I3:I6"/>
    <mergeCell ref="K5:K6"/>
    <mergeCell ref="L5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topLeftCell="A4" workbookViewId="0">
      <selection activeCell="K30" sqref="K30"/>
    </sheetView>
  </sheetViews>
  <sheetFormatPr defaultRowHeight="15" x14ac:dyDescent="0.25"/>
  <cols>
    <col min="1" max="1" width="9.28515625" customWidth="1"/>
    <col min="2" max="2" width="12" bestFit="1" customWidth="1"/>
    <col min="3" max="3" width="9.85546875" customWidth="1"/>
    <col min="4" max="4" width="8.42578125" customWidth="1"/>
    <col min="5" max="6" width="12" bestFit="1" customWidth="1"/>
    <col min="7" max="7" width="11.5703125" bestFit="1" customWidth="1"/>
    <col min="8" max="8" width="12" bestFit="1" customWidth="1"/>
    <col min="9" max="9" width="16.28515625" customWidth="1"/>
    <col min="10" max="10" width="12.42578125" customWidth="1"/>
    <col min="11" max="11" width="12.5703125" bestFit="1" customWidth="1"/>
    <col min="12" max="12" width="14.42578125" customWidth="1"/>
    <col min="13" max="13" width="13.42578125" customWidth="1"/>
    <col min="14" max="16" width="12" bestFit="1" customWidth="1"/>
    <col min="17" max="17" width="12.28515625" customWidth="1"/>
    <col min="18" max="18" width="14.140625" customWidth="1"/>
    <col min="19" max="19" width="15.5703125" customWidth="1"/>
    <col min="20" max="20" width="12" bestFit="1" customWidth="1"/>
    <col min="21" max="21" width="14.28515625" bestFit="1" customWidth="1"/>
    <col min="22" max="22" width="7.85546875" customWidth="1"/>
    <col min="23" max="23" width="6.5703125" bestFit="1" customWidth="1"/>
    <col min="24" max="28" width="12" bestFit="1" customWidth="1"/>
    <col min="29" max="29" width="10.28515625" customWidth="1"/>
    <col min="30" max="33" width="3.140625" bestFit="1" customWidth="1"/>
  </cols>
  <sheetData>
    <row r="1" spans="1:34" ht="19.5" customHeight="1" x14ac:dyDescent="0.35">
      <c r="A1" s="165" t="s">
        <v>14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O1" s="166" t="s">
        <v>72</v>
      </c>
      <c r="P1" s="166"/>
      <c r="Q1" s="166"/>
      <c r="R1" s="166"/>
      <c r="S1" s="166"/>
      <c r="T1" s="166"/>
      <c r="U1" s="166"/>
      <c r="V1" s="166"/>
    </row>
    <row r="2" spans="1:34" ht="60" x14ac:dyDescent="0.25">
      <c r="A2" s="4" t="s">
        <v>15</v>
      </c>
      <c r="B2" s="4" t="s">
        <v>16</v>
      </c>
      <c r="C2" s="4" t="s">
        <v>31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6" t="s">
        <v>25</v>
      </c>
      <c r="M2" s="6" t="s">
        <v>26</v>
      </c>
      <c r="N2" s="8"/>
      <c r="O2" s="167" t="s">
        <v>32</v>
      </c>
      <c r="P2" s="167" t="s">
        <v>35</v>
      </c>
      <c r="Q2" s="167" t="s">
        <v>66</v>
      </c>
      <c r="R2" s="99" t="s">
        <v>67</v>
      </c>
      <c r="S2" s="99" t="s">
        <v>68</v>
      </c>
      <c r="T2" s="167" t="s">
        <v>69</v>
      </c>
      <c r="U2" s="71" t="s">
        <v>33</v>
      </c>
      <c r="V2" s="99" t="s">
        <v>70</v>
      </c>
    </row>
    <row r="3" spans="1:34" x14ac:dyDescent="0.25">
      <c r="A3" s="3" t="s">
        <v>27</v>
      </c>
      <c r="B3" s="3">
        <v>0</v>
      </c>
      <c r="C3" s="3">
        <v>0.3</v>
      </c>
      <c r="D3" s="3">
        <v>243</v>
      </c>
      <c r="E3" s="3">
        <v>1.73</v>
      </c>
      <c r="F3" s="3">
        <v>5</v>
      </c>
      <c r="G3" s="169">
        <v>12</v>
      </c>
      <c r="H3" s="3">
        <v>1820</v>
      </c>
      <c r="I3" s="169">
        <v>19645</v>
      </c>
      <c r="J3" s="3">
        <v>20</v>
      </c>
      <c r="K3" s="3">
        <v>40</v>
      </c>
      <c r="L3" s="3">
        <v>500</v>
      </c>
      <c r="M3" s="3">
        <v>1000</v>
      </c>
      <c r="O3" s="168"/>
      <c r="P3" s="168"/>
      <c r="Q3" s="168"/>
      <c r="R3" s="72" t="s">
        <v>71</v>
      </c>
      <c r="S3" s="72" t="s">
        <v>71</v>
      </c>
      <c r="T3" s="168"/>
      <c r="U3" s="73">
        <v>500</v>
      </c>
      <c r="V3" s="3">
        <v>1.5</v>
      </c>
    </row>
    <row r="4" spans="1:34" x14ac:dyDescent="0.25">
      <c r="A4" s="3" t="s">
        <v>28</v>
      </c>
      <c r="B4" s="3">
        <v>0</v>
      </c>
      <c r="C4" s="3">
        <v>0.3</v>
      </c>
      <c r="D4" s="3">
        <v>254</v>
      </c>
      <c r="E4" s="3">
        <v>1.88</v>
      </c>
      <c r="F4" s="3">
        <v>3</v>
      </c>
      <c r="G4" s="170"/>
      <c r="H4" s="3">
        <v>2720</v>
      </c>
      <c r="I4" s="170"/>
      <c r="J4" s="5"/>
      <c r="K4" s="5"/>
      <c r="L4" s="5"/>
      <c r="M4" s="5"/>
      <c r="O4" s="74">
        <v>1</v>
      </c>
      <c r="P4" s="74">
        <v>106</v>
      </c>
      <c r="Q4" s="74">
        <v>110</v>
      </c>
      <c r="R4" s="74">
        <v>6</v>
      </c>
      <c r="S4" s="74">
        <v>5</v>
      </c>
      <c r="T4" s="74">
        <f>R4*$U$3/60+S4</f>
        <v>55</v>
      </c>
      <c r="U4" s="75"/>
    </row>
    <row r="5" spans="1:34" x14ac:dyDescent="0.25">
      <c r="A5" s="3" t="s">
        <v>29</v>
      </c>
      <c r="B5" s="3">
        <v>0</v>
      </c>
      <c r="C5" s="3">
        <v>0.3</v>
      </c>
      <c r="D5" s="3">
        <v>143</v>
      </c>
      <c r="E5" s="3">
        <v>2.4300000000000002</v>
      </c>
      <c r="F5" s="3">
        <v>8</v>
      </c>
      <c r="G5" s="170"/>
      <c r="H5" s="3">
        <v>3700</v>
      </c>
      <c r="I5" s="170"/>
      <c r="J5" s="5"/>
      <c r="K5" s="140" t="s">
        <v>73</v>
      </c>
      <c r="L5" s="141">
        <v>12</v>
      </c>
      <c r="M5" s="140" t="s">
        <v>74</v>
      </c>
      <c r="N5" s="141">
        <v>19645</v>
      </c>
      <c r="O5" s="74">
        <v>2</v>
      </c>
      <c r="P5" s="74">
        <v>76</v>
      </c>
      <c r="Q5" s="74">
        <v>40</v>
      </c>
      <c r="R5" s="74">
        <v>9</v>
      </c>
      <c r="S5" s="74">
        <v>2</v>
      </c>
      <c r="T5" s="74">
        <f t="shared" ref="T5:T7" si="0">R5*$U$3/60+S5</f>
        <v>77</v>
      </c>
      <c r="U5" s="75"/>
    </row>
    <row r="6" spans="1:34" x14ac:dyDescent="0.25">
      <c r="A6" s="3" t="s">
        <v>30</v>
      </c>
      <c r="B6" s="3">
        <v>0</v>
      </c>
      <c r="C6" s="3">
        <v>0.3</v>
      </c>
      <c r="D6" s="3">
        <v>449</v>
      </c>
      <c r="E6" s="3">
        <v>2.5299999999999998</v>
      </c>
      <c r="F6" s="3">
        <v>4</v>
      </c>
      <c r="G6" s="171"/>
      <c r="H6" s="3">
        <v>4320</v>
      </c>
      <c r="I6" s="171"/>
      <c r="J6" s="5"/>
      <c r="K6" s="140"/>
      <c r="L6" s="141"/>
      <c r="M6" s="140"/>
      <c r="N6" s="141"/>
      <c r="O6" s="74">
        <v>3</v>
      </c>
      <c r="P6" s="74">
        <v>95</v>
      </c>
      <c r="Q6" s="74">
        <v>67</v>
      </c>
      <c r="R6" s="74">
        <v>5</v>
      </c>
      <c r="S6" s="74">
        <v>4</v>
      </c>
      <c r="T6" s="74">
        <f t="shared" si="0"/>
        <v>45.666666666666664</v>
      </c>
      <c r="U6" s="75"/>
    </row>
    <row r="7" spans="1:34" ht="15.75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O7" s="74">
        <v>4</v>
      </c>
      <c r="P7" s="74">
        <v>140</v>
      </c>
      <c r="Q7" s="94">
        <v>85</v>
      </c>
      <c r="R7" s="94">
        <v>8</v>
      </c>
      <c r="S7" s="94">
        <v>3</v>
      </c>
      <c r="T7" s="74">
        <f t="shared" si="0"/>
        <v>69.666666666666671</v>
      </c>
    </row>
    <row r="8" spans="1:34" ht="15.75" customHeight="1" x14ac:dyDescent="0.25">
      <c r="A8" s="172" t="s">
        <v>104</v>
      </c>
      <c r="B8" s="144" t="s">
        <v>105</v>
      </c>
      <c r="C8" s="144"/>
      <c r="D8" s="144"/>
      <c r="E8" s="144"/>
      <c r="F8" s="20" t="s">
        <v>27</v>
      </c>
      <c r="G8" s="20" t="s">
        <v>28</v>
      </c>
      <c r="H8" s="20" t="s">
        <v>29</v>
      </c>
      <c r="I8" s="20" t="s">
        <v>30</v>
      </c>
    </row>
    <row r="9" spans="1:34" ht="15.75" customHeight="1" thickBot="1" x14ac:dyDescent="0.3">
      <c r="A9" s="173"/>
      <c r="B9" s="145"/>
      <c r="C9" s="145"/>
      <c r="D9" s="145"/>
      <c r="E9" s="145"/>
      <c r="F9" s="20">
        <v>84</v>
      </c>
      <c r="G9" s="26">
        <v>84</v>
      </c>
      <c r="H9" s="26">
        <v>84</v>
      </c>
      <c r="I9" s="26">
        <v>252</v>
      </c>
    </row>
    <row r="10" spans="1:34" ht="15.75" customHeight="1" thickBot="1" x14ac:dyDescent="0.3">
      <c r="A10" s="173"/>
      <c r="B10" s="145"/>
      <c r="C10" s="145"/>
      <c r="D10" s="145"/>
      <c r="E10" s="145"/>
      <c r="F10" s="7"/>
      <c r="G10" s="146" t="s">
        <v>27</v>
      </c>
      <c r="H10" s="147"/>
      <c r="I10" s="147"/>
      <c r="J10" s="147"/>
      <c r="K10" s="148"/>
      <c r="L10" s="149" t="s">
        <v>28</v>
      </c>
      <c r="M10" s="150"/>
      <c r="N10" s="150"/>
      <c r="O10" s="150"/>
      <c r="P10" s="151"/>
      <c r="Q10" s="152" t="s">
        <v>29</v>
      </c>
      <c r="R10" s="153"/>
      <c r="S10" s="153"/>
      <c r="T10" s="153"/>
      <c r="U10" s="154"/>
      <c r="V10" s="155" t="s">
        <v>30</v>
      </c>
      <c r="W10" s="156"/>
      <c r="X10" s="156"/>
      <c r="Y10" s="156"/>
      <c r="Z10" s="157"/>
      <c r="AA10" s="158" t="s">
        <v>42</v>
      </c>
      <c r="AB10" s="159"/>
      <c r="AC10" s="160" t="s">
        <v>44</v>
      </c>
      <c r="AD10" s="162" t="s">
        <v>47</v>
      </c>
      <c r="AE10" s="163"/>
      <c r="AF10" s="163"/>
      <c r="AG10" s="164"/>
      <c r="AH10" s="138" t="s">
        <v>62</v>
      </c>
    </row>
    <row r="11" spans="1:34" ht="36.75" x14ac:dyDescent="0.25">
      <c r="A11" s="21" t="s">
        <v>32</v>
      </c>
      <c r="B11" s="22" t="s">
        <v>37</v>
      </c>
      <c r="C11" s="23" t="s">
        <v>33</v>
      </c>
      <c r="D11" s="22" t="s">
        <v>38</v>
      </c>
      <c r="E11" s="22" t="s">
        <v>34</v>
      </c>
      <c r="F11" s="25" t="s">
        <v>35</v>
      </c>
      <c r="G11" s="27" t="s">
        <v>39</v>
      </c>
      <c r="H11" s="10" t="s">
        <v>40</v>
      </c>
      <c r="I11" s="10" t="s">
        <v>45</v>
      </c>
      <c r="J11" s="10" t="s">
        <v>46</v>
      </c>
      <c r="K11" s="111" t="s">
        <v>43</v>
      </c>
      <c r="L11" s="30" t="s">
        <v>39</v>
      </c>
      <c r="M11" s="13" t="s">
        <v>40</v>
      </c>
      <c r="N11" s="13" t="s">
        <v>45</v>
      </c>
      <c r="O11" s="13" t="s">
        <v>46</v>
      </c>
      <c r="P11" s="112" t="s">
        <v>43</v>
      </c>
      <c r="Q11" s="33" t="s">
        <v>39</v>
      </c>
      <c r="R11" s="12" t="s">
        <v>40</v>
      </c>
      <c r="S11" s="12" t="s">
        <v>45</v>
      </c>
      <c r="T11" s="12" t="s">
        <v>46</v>
      </c>
      <c r="U11" s="34" t="s">
        <v>41</v>
      </c>
      <c r="V11" s="36" t="s">
        <v>39</v>
      </c>
      <c r="W11" s="11" t="s">
        <v>40</v>
      </c>
      <c r="X11" s="11" t="s">
        <v>45</v>
      </c>
      <c r="Y11" s="11" t="s">
        <v>46</v>
      </c>
      <c r="Z11" s="113" t="s">
        <v>43</v>
      </c>
      <c r="AA11" s="39" t="s">
        <v>41</v>
      </c>
      <c r="AB11" s="40" t="s">
        <v>43</v>
      </c>
      <c r="AC11" s="161"/>
      <c r="AD11" s="43" t="s">
        <v>27</v>
      </c>
      <c r="AE11" s="1" t="s">
        <v>28</v>
      </c>
      <c r="AF11" s="1" t="s">
        <v>29</v>
      </c>
      <c r="AG11" s="1" t="s">
        <v>30</v>
      </c>
      <c r="AH11" s="139"/>
    </row>
    <row r="12" spans="1:34" x14ac:dyDescent="0.25">
      <c r="A12" s="24">
        <v>3</v>
      </c>
      <c r="B12" s="9">
        <v>5</v>
      </c>
      <c r="C12" s="9">
        <v>500</v>
      </c>
      <c r="D12" s="9">
        <v>4</v>
      </c>
      <c r="E12" s="48">
        <f>B12*C12/60+D12</f>
        <v>45.666666666666664</v>
      </c>
      <c r="F12" s="14">
        <v>95</v>
      </c>
      <c r="G12" s="49">
        <f>B$3*(1-AD12*C$3)</f>
        <v>0</v>
      </c>
      <c r="H12" s="50">
        <f>G12+E12</f>
        <v>45.666666666666664</v>
      </c>
      <c r="I12" s="15">
        <f>(H12/D$3)^E$3</f>
        <v>5.5463587496332782E-2</v>
      </c>
      <c r="J12" s="15">
        <f>(G12/D$3)^E$3</f>
        <v>0</v>
      </c>
      <c r="K12" s="29">
        <f>EXP(J12-I12)</f>
        <v>0.94604647096386807</v>
      </c>
      <c r="L12" s="51">
        <f>B$4*(1-AE12*C$4)</f>
        <v>0</v>
      </c>
      <c r="M12" s="52">
        <f>L12+E12</f>
        <v>45.666666666666664</v>
      </c>
      <c r="N12" s="17">
        <f>(M12/D$4)^E$4</f>
        <v>3.9715434673642101E-2</v>
      </c>
      <c r="O12" s="17">
        <f>(L12/D$4)^E$4</f>
        <v>0</v>
      </c>
      <c r="P12" s="32">
        <f>EXP(O12-N12)</f>
        <v>0.96106288541745444</v>
      </c>
      <c r="Q12" s="53">
        <f>B$5*(1-AF12*C$5)</f>
        <v>0</v>
      </c>
      <c r="R12" s="54">
        <f>Q12+E12</f>
        <v>45.666666666666664</v>
      </c>
      <c r="S12" s="16">
        <f>(R12/D$5)^E$5</f>
        <v>6.2425173515745024E-2</v>
      </c>
      <c r="T12" s="16">
        <f>(Q12/D$5)^E$5</f>
        <v>0</v>
      </c>
      <c r="U12" s="35">
        <f>EXP(T12-S12)</f>
        <v>0.93948335842018305</v>
      </c>
      <c r="V12" s="55">
        <f>B$6*(1-AG12*C$6)</f>
        <v>0</v>
      </c>
      <c r="W12" s="56">
        <f>V12+E12</f>
        <v>45.666666666666664</v>
      </c>
      <c r="X12" s="18">
        <f>(W12/D$6)^E$6</f>
        <v>3.0803709406480337E-3</v>
      </c>
      <c r="Y12" s="18">
        <f>(V12/D$6)^E$6</f>
        <v>0</v>
      </c>
      <c r="Z12" s="38">
        <f>EXP(Y12-X12)</f>
        <v>0.99692436853422217</v>
      </c>
      <c r="AA12" s="41">
        <f>1-K12*P12*U12*Z12</f>
        <v>0.14843936060744001</v>
      </c>
      <c r="AB12" s="42">
        <f>1-AA12</f>
        <v>0.85156063939255999</v>
      </c>
      <c r="AC12" s="47">
        <f>(AD12*F$3+AE12*F$4+AF12*F$5+AG12*F$6)+E12</f>
        <v>45.666666666666664</v>
      </c>
      <c r="AD12" s="43">
        <v>0</v>
      </c>
      <c r="AE12" s="1">
        <v>0</v>
      </c>
      <c r="AF12" s="1">
        <v>0</v>
      </c>
      <c r="AG12" s="1">
        <v>0</v>
      </c>
      <c r="AH12" s="44">
        <v>67</v>
      </c>
    </row>
    <row r="13" spans="1:34" x14ac:dyDescent="0.25">
      <c r="A13" s="24">
        <v>1</v>
      </c>
      <c r="B13" s="9">
        <v>6</v>
      </c>
      <c r="C13" s="9">
        <v>500</v>
      </c>
      <c r="D13" s="9">
        <v>5</v>
      </c>
      <c r="E13" s="9">
        <f t="shared" ref="E13:E15" si="1">B13*C13/60+D13</f>
        <v>55</v>
      </c>
      <c r="F13" s="14">
        <v>106</v>
      </c>
      <c r="G13" s="49">
        <f>H12*(1-AD13*C$3)</f>
        <v>31.966666666666661</v>
      </c>
      <c r="H13" s="50">
        <f>G13+E13</f>
        <v>86.966666666666669</v>
      </c>
      <c r="I13" s="15">
        <f>(H13/D$3)^E$3</f>
        <v>0.16903690519434617</v>
      </c>
      <c r="J13" s="15">
        <f>(G13/D$3)^E$3</f>
        <v>2.9924545736913648E-2</v>
      </c>
      <c r="K13" s="29">
        <f t="shared" ref="K13:K15" si="2">EXP(J13-I13)</f>
        <v>0.8701302556020869</v>
      </c>
      <c r="L13" s="51">
        <f>M12*(1-AE13*C$4)</f>
        <v>31.966666666666661</v>
      </c>
      <c r="M13" s="52">
        <f>L13+E13</f>
        <v>86.966666666666669</v>
      </c>
      <c r="N13" s="17">
        <f>(M13/D$4)^E$4</f>
        <v>0.13332018959183325</v>
      </c>
      <c r="O13" s="17">
        <f>(L13/D$4)^E$4</f>
        <v>2.031157661785336E-2</v>
      </c>
      <c r="P13" s="32">
        <f t="shared" ref="P13:P15" si="3">EXP(O13-N13)</f>
        <v>0.89314296746574817</v>
      </c>
      <c r="Q13" s="53">
        <f>R12*(1-AF13*C$5)</f>
        <v>31.966666666666661</v>
      </c>
      <c r="R13" s="54">
        <f>Q13+E13</f>
        <v>86.966666666666669</v>
      </c>
      <c r="S13" s="16">
        <f>(R13/D$5)^E$5</f>
        <v>0.29864881248498298</v>
      </c>
      <c r="T13" s="16">
        <f>(Q13/D$5)^E$5</f>
        <v>2.6239043252001361E-2</v>
      </c>
      <c r="U13" s="35">
        <f t="shared" ref="U13:U15" si="4">EXP(T13-S13)</f>
        <v>0.76154214060667991</v>
      </c>
      <c r="V13" s="55">
        <f>W12*(1-AG13*C$6)</f>
        <v>45.666666666666664</v>
      </c>
      <c r="W13" s="56">
        <f>V13+E13</f>
        <v>100.66666666666666</v>
      </c>
      <c r="X13" s="18">
        <f>(W13/D$6)^E$6</f>
        <v>2.275713304339216E-2</v>
      </c>
      <c r="Y13" s="18">
        <f>(V13/D$6)^E$6</f>
        <v>3.0803709406480337E-3</v>
      </c>
      <c r="Z13" s="38">
        <f t="shared" ref="Z13:Z15" si="5">EXP(Y13-X13)</f>
        <v>0.98051556187724642</v>
      </c>
      <c r="AA13" s="41">
        <f t="shared" ref="AA13:AA15" si="6">1-K13*P13*U13*Z13</f>
        <v>0.41969851209819387</v>
      </c>
      <c r="AB13" s="42">
        <f>1-AA13</f>
        <v>0.58030148790180613</v>
      </c>
      <c r="AC13" s="47">
        <f>AF13*F$5+E13+AC12</f>
        <v>108.66666666666666</v>
      </c>
      <c r="AD13" s="43">
        <v>1</v>
      </c>
      <c r="AE13" s="1">
        <v>1</v>
      </c>
      <c r="AF13" s="1">
        <v>1</v>
      </c>
      <c r="AG13" s="1">
        <v>0</v>
      </c>
      <c r="AH13" s="44">
        <v>110</v>
      </c>
    </row>
    <row r="14" spans="1:34" x14ac:dyDescent="0.25">
      <c r="A14" s="57">
        <v>2</v>
      </c>
      <c r="B14" s="58">
        <v>9</v>
      </c>
      <c r="C14" s="58">
        <v>500</v>
      </c>
      <c r="D14" s="58">
        <v>2</v>
      </c>
      <c r="E14" s="66">
        <f t="shared" si="1"/>
        <v>77</v>
      </c>
      <c r="F14" s="67">
        <v>76</v>
      </c>
      <c r="G14" s="68">
        <f>H13*(1-AD14*C$3)</f>
        <v>60.876666666666665</v>
      </c>
      <c r="H14" s="69">
        <f>G14+E14</f>
        <v>137.87666666666667</v>
      </c>
      <c r="I14" s="70">
        <f>(H14/D$3)^E$3</f>
        <v>0.37516316227475804</v>
      </c>
      <c r="J14" s="70">
        <f>(G14/D$3)^E$3</f>
        <v>9.1201323770284476E-2</v>
      </c>
      <c r="K14" s="29">
        <f t="shared" si="2"/>
        <v>0.75279537195527457</v>
      </c>
      <c r="L14" s="51">
        <f>M13*(1-AE14*C$4)</f>
        <v>60.876666666666665</v>
      </c>
      <c r="M14" s="52">
        <f>L14+E14</f>
        <v>137.87666666666667</v>
      </c>
      <c r="N14" s="17">
        <f>(M14/D$4)^E$4</f>
        <v>0.31707008589367913</v>
      </c>
      <c r="O14" s="17">
        <f>(L14/D$4)^E$4</f>
        <v>6.8183648696118551E-2</v>
      </c>
      <c r="P14" s="32">
        <f t="shared" si="3"/>
        <v>0.77966850969832435</v>
      </c>
      <c r="Q14" s="53">
        <f>R13*(1-AF14*C$5)</f>
        <v>60.876666666666665</v>
      </c>
      <c r="R14" s="54">
        <f>Q14+E14</f>
        <v>137.87666666666667</v>
      </c>
      <c r="S14" s="16">
        <f>(R14/D$5)^E$5</f>
        <v>0.91515785746077072</v>
      </c>
      <c r="T14" s="16">
        <f>(Q14/D$5)^E$5</f>
        <v>0.12553043374362163</v>
      </c>
      <c r="U14" s="35">
        <f t="shared" si="4"/>
        <v>0.45401391859288415</v>
      </c>
      <c r="V14" s="55">
        <f>W13*(1-AG14*C$6)</f>
        <v>100.66666666666666</v>
      </c>
      <c r="W14" s="56">
        <f>V14+E14</f>
        <v>177.66666666666666</v>
      </c>
      <c r="X14" s="18">
        <f>(W14/D$6)^E$6</f>
        <v>9.5789922449281015E-2</v>
      </c>
      <c r="Y14" s="18">
        <f>(V14/D$6)^E$6</f>
        <v>2.275713304339216E-2</v>
      </c>
      <c r="Z14" s="38">
        <f t="shared" si="5"/>
        <v>0.92957034946658479</v>
      </c>
      <c r="AA14" s="41">
        <f t="shared" si="6"/>
        <v>0.75229295192771306</v>
      </c>
      <c r="AB14" s="42">
        <f>1-AA14</f>
        <v>0.24770704807228694</v>
      </c>
      <c r="AC14" s="47">
        <f>(AF14*F$5)+E14+AC13</f>
        <v>193.66666666666666</v>
      </c>
      <c r="AD14" s="77">
        <v>1</v>
      </c>
      <c r="AE14" s="78">
        <v>1</v>
      </c>
      <c r="AF14" s="78">
        <v>1</v>
      </c>
      <c r="AG14" s="78">
        <v>0</v>
      </c>
      <c r="AH14" s="79">
        <v>40</v>
      </c>
    </row>
    <row r="15" spans="1:34" ht="15.75" thickBot="1" x14ac:dyDescent="0.3">
      <c r="A15" s="76">
        <v>4</v>
      </c>
      <c r="B15" s="58">
        <v>8</v>
      </c>
      <c r="C15" s="58">
        <v>500</v>
      </c>
      <c r="D15" s="58">
        <v>3</v>
      </c>
      <c r="E15" s="66">
        <f t="shared" si="1"/>
        <v>69.666666666666671</v>
      </c>
      <c r="F15" s="67">
        <v>140</v>
      </c>
      <c r="G15" s="68">
        <f>H14*(1-AD15*C$3)</f>
        <v>96.513666666666666</v>
      </c>
      <c r="H15" s="69">
        <f>G15+E15</f>
        <v>166.18033333333335</v>
      </c>
      <c r="I15" s="70">
        <f>(H15/D$3)^E$3</f>
        <v>0.51820774463668084</v>
      </c>
      <c r="J15" s="70">
        <f>(G15/D$3)^E$3</f>
        <v>0.20241365037987211</v>
      </c>
      <c r="K15" s="29">
        <f t="shared" si="2"/>
        <v>0.72920958315163253</v>
      </c>
      <c r="L15" s="51">
        <f>M14*(1-AE15*C$4)</f>
        <v>96.513666666666666</v>
      </c>
      <c r="M15" s="52">
        <f>L15+E15</f>
        <v>166.18033333333335</v>
      </c>
      <c r="N15" s="17">
        <f>(M15/D$4)^E$4</f>
        <v>0.45040407301022128</v>
      </c>
      <c r="O15" s="17">
        <f>(L15/D$4)^E$4</f>
        <v>0.1621584503803245</v>
      </c>
      <c r="P15" s="32">
        <f t="shared" si="3"/>
        <v>0.7495774564398453</v>
      </c>
      <c r="Q15" s="53">
        <f>R14*(1-AF15*C$5)</f>
        <v>96.513666666666666</v>
      </c>
      <c r="R15" s="54">
        <f>Q15+E15</f>
        <v>166.18033333333335</v>
      </c>
      <c r="S15" s="16">
        <f>(R15/D$5)^E$5</f>
        <v>1.4405950546284723</v>
      </c>
      <c r="T15" s="16">
        <f>(Q15/D$5)^E$5</f>
        <v>0.38466639741522679</v>
      </c>
      <c r="U15" s="35">
        <f t="shared" si="4"/>
        <v>0.34786922599182574</v>
      </c>
      <c r="V15" s="55">
        <f>W14*(1-AG15*C$6)</f>
        <v>124.36666666666665</v>
      </c>
      <c r="W15" s="56">
        <f>V15+E15</f>
        <v>194.0333333333333</v>
      </c>
      <c r="X15" s="18">
        <f>(W15/D$6)^E$6</f>
        <v>0.11971371522436358</v>
      </c>
      <c r="Y15" s="18">
        <f>(V15/D$6)^E$6</f>
        <v>3.8852401036237806E-2</v>
      </c>
      <c r="Z15" s="38">
        <f t="shared" si="5"/>
        <v>0.92232159549444481</v>
      </c>
      <c r="AA15" s="41">
        <f t="shared" si="6"/>
        <v>0.82462516620781834</v>
      </c>
      <c r="AB15" s="42">
        <f>1-AA15</f>
        <v>0.17537483379218166</v>
      </c>
      <c r="AC15" s="47">
        <f>(AF15*F$5)+E15+AC14</f>
        <v>271.33333333333331</v>
      </c>
      <c r="AD15" s="80">
        <v>1</v>
      </c>
      <c r="AE15" s="45">
        <v>1</v>
      </c>
      <c r="AF15" s="81">
        <v>1</v>
      </c>
      <c r="AG15" s="45">
        <v>1</v>
      </c>
      <c r="AH15" s="82">
        <v>85</v>
      </c>
    </row>
    <row r="16" spans="1:34" ht="19.5" thickBot="1" x14ac:dyDescent="0.35">
      <c r="A16" s="132" t="s">
        <v>145</v>
      </c>
      <c r="B16" s="132"/>
      <c r="C16" s="132"/>
      <c r="D16" s="132"/>
      <c r="E16" s="132"/>
      <c r="F16" s="132"/>
      <c r="G16" s="132"/>
      <c r="H16" s="132"/>
      <c r="I16" s="132"/>
      <c r="J16" s="132"/>
      <c r="AB16" s="122"/>
      <c r="AC16" s="124"/>
      <c r="AD16" s="125"/>
      <c r="AE16" s="45"/>
      <c r="AF16" s="81"/>
      <c r="AG16" s="45"/>
    </row>
    <row r="17" spans="1:21" ht="15.75" x14ac:dyDescent="0.25">
      <c r="A17" s="19" t="s">
        <v>54</v>
      </c>
      <c r="B17" s="60" t="s">
        <v>49</v>
      </c>
      <c r="C17" s="61" t="s">
        <v>50</v>
      </c>
      <c r="D17" s="19" t="s">
        <v>58</v>
      </c>
      <c r="E17" s="60" t="s">
        <v>57</v>
      </c>
      <c r="F17" s="61" t="s">
        <v>50</v>
      </c>
      <c r="G17" s="19" t="s">
        <v>48</v>
      </c>
      <c r="H17" s="60" t="s">
        <v>61</v>
      </c>
      <c r="I17" s="61" t="s">
        <v>50</v>
      </c>
      <c r="J17" s="19" t="s">
        <v>82</v>
      </c>
      <c r="K17" s="83" t="s">
        <v>84</v>
      </c>
      <c r="L17" s="61" t="s">
        <v>50</v>
      </c>
      <c r="M17" s="61" t="s">
        <v>85</v>
      </c>
      <c r="O17" s="133" t="s">
        <v>64</v>
      </c>
      <c r="P17" s="133"/>
      <c r="Q17" s="134" t="s">
        <v>109</v>
      </c>
      <c r="R17" s="134"/>
    </row>
    <row r="18" spans="1:21" ht="24.75" x14ac:dyDescent="0.25">
      <c r="A18" s="61" t="s">
        <v>51</v>
      </c>
      <c r="B18" s="1">
        <f>AA12</f>
        <v>0.14843936060744001</v>
      </c>
      <c r="C18" s="59">
        <f>MAX(AC12+1*L5-F12,0)</f>
        <v>0</v>
      </c>
      <c r="D18" s="62" t="s">
        <v>55</v>
      </c>
      <c r="E18" s="1">
        <f>AA12*AA13</f>
        <v>6.2299778783749822E-2</v>
      </c>
      <c r="F18" s="1">
        <f>MAX(AC13+2*L5-F13,0)</f>
        <v>26.666666666666657</v>
      </c>
      <c r="G18" s="62" t="s">
        <v>59</v>
      </c>
      <c r="H18" s="1">
        <f>AA12*AA13*AA14</f>
        <v>4.6867684485670663E-2</v>
      </c>
      <c r="I18" s="1">
        <f>AC14+3*L5-F14</f>
        <v>153.66666666666666</v>
      </c>
      <c r="J18" s="62" t="s">
        <v>83</v>
      </c>
      <c r="K18" s="1">
        <f>AA12*AA13*AA14*AA15</f>
        <v>3.864827210877176E-2</v>
      </c>
      <c r="L18" s="1">
        <f>AC15+4*L5-F15</f>
        <v>179.33333333333331</v>
      </c>
      <c r="M18" s="1">
        <f>B18*C18*AH12+E18*F18*AH13+H18*I18*AH14+K18*L18*AH15</f>
        <v>1059.9545462489659</v>
      </c>
      <c r="O18" s="1" t="s">
        <v>27</v>
      </c>
      <c r="P18" s="1">
        <f>3*H3</f>
        <v>5460</v>
      </c>
      <c r="Q18" s="1" t="s">
        <v>141</v>
      </c>
      <c r="R18" s="1">
        <f>S$18*AA12</f>
        <v>5231.7452646092233</v>
      </c>
      <c r="S18">
        <f>G3*(J3*K3+L3)+I3</f>
        <v>35245</v>
      </c>
    </row>
    <row r="19" spans="1:21" ht="24.75" x14ac:dyDescent="0.25">
      <c r="A19" s="62" t="s">
        <v>52</v>
      </c>
      <c r="B19" s="1">
        <f>AB12</f>
        <v>0.85156063939255999</v>
      </c>
      <c r="C19" s="59">
        <f>MAX(AC12-F12,0)</f>
        <v>0</v>
      </c>
      <c r="D19" s="62" t="s">
        <v>56</v>
      </c>
      <c r="E19" s="1">
        <f>AA12*AB13+AA13*AB12</f>
        <v>0.44353831513813424</v>
      </c>
      <c r="F19" s="1">
        <f>MAX(AC13+1*L5-F13,0)</f>
        <v>14.666666666666657</v>
      </c>
      <c r="G19" s="62" t="s">
        <v>60</v>
      </c>
      <c r="H19" s="1">
        <f>AA12*AA13*AB14+AA13*AA14*AB12+AA12*AA14*AB13</f>
        <v>0.34910284268639047</v>
      </c>
      <c r="I19" s="1">
        <f>AC14+2*L5-F14</f>
        <v>141.66666666666666</v>
      </c>
      <c r="J19" s="62" t="s">
        <v>59</v>
      </c>
      <c r="K19">
        <f>AB12*AA13*AA14*AA15+AB13*AA12*AA14*AA15+AB14*AA12*AA13*AA15+AB15*AA12*AA13*AA14</f>
        <v>0.29609840205078547</v>
      </c>
      <c r="L19" s="1">
        <f>AC15+3*L5-F15</f>
        <v>167.33333333333331</v>
      </c>
      <c r="M19" s="1">
        <f>B19*C19*AH12+E19*F19*AH13+H19*I19*AH14+K19*L19*AH15</f>
        <v>6905.3308621480737</v>
      </c>
      <c r="O19" s="1" t="s">
        <v>28</v>
      </c>
      <c r="P19" s="1">
        <f>3*H4</f>
        <v>8160</v>
      </c>
      <c r="Q19" s="1" t="s">
        <v>142</v>
      </c>
      <c r="R19" s="1">
        <f t="shared" ref="R19:R21" si="7">S$18*AA13</f>
        <v>14792.274058900843</v>
      </c>
    </row>
    <row r="20" spans="1:21" ht="24.75" x14ac:dyDescent="0.25">
      <c r="A20" s="1"/>
      <c r="B20" s="1"/>
      <c r="C20" s="1"/>
      <c r="D20" s="62" t="s">
        <v>52</v>
      </c>
      <c r="E20" s="1">
        <f>AB12*AB13</f>
        <v>0.49416190607811594</v>
      </c>
      <c r="F20" s="59">
        <f>MAX(AC13-F13,0)</f>
        <v>2.6666666666666572</v>
      </c>
      <c r="G20" s="62" t="s">
        <v>56</v>
      </c>
      <c r="H20" s="1">
        <f>AA12*AB13*AB14+AA13*AB12*AB14+AA14*AB12*AB13</f>
        <v>0.48162208580355409</v>
      </c>
      <c r="I20" s="1">
        <f>AC14+1*L5-F14</f>
        <v>129.66666666666666</v>
      </c>
      <c r="J20" s="62" t="s">
        <v>60</v>
      </c>
      <c r="K20" s="1">
        <f>AA12*AA13*AB14*AB15 + AA12*AA14*AB13*AB15 + AA12*AA15*AB13*AB14 + AA13*AA14*AB12*AB15 + AA13*AA15*AB12*AB14 + AA14*AA15*AB12*AB13</f>
        <v>0.45838154556761584</v>
      </c>
      <c r="L20" s="1">
        <f>AC15+2*L5-F15</f>
        <v>155.33333333333331</v>
      </c>
      <c r="M20" s="1">
        <f>B20*C20*AH12+E20*F20*AH13+H20*I20*AH14+K20*L20*AH15</f>
        <v>8695.1317174617689</v>
      </c>
      <c r="O20" s="1" t="s">
        <v>29</v>
      </c>
      <c r="P20" s="1">
        <f>3*(F5*(J3*K3+L3)+H5)</f>
        <v>42300</v>
      </c>
      <c r="Q20" s="1" t="s">
        <v>143</v>
      </c>
      <c r="R20" s="1">
        <f t="shared" si="7"/>
        <v>26514.565090692246</v>
      </c>
    </row>
    <row r="21" spans="1:21" ht="24.75" x14ac:dyDescent="0.25">
      <c r="A21" s="1"/>
      <c r="B21" s="1"/>
      <c r="C21" s="1"/>
      <c r="D21" s="1"/>
      <c r="E21" s="1"/>
      <c r="F21" s="1"/>
      <c r="G21" s="62" t="s">
        <v>52</v>
      </c>
      <c r="H21" s="1">
        <f>AB12*AB13*AB14</f>
        <v>0.12240738702438481</v>
      </c>
      <c r="I21" s="63">
        <f>AC14-F14</f>
        <v>117.66666666666666</v>
      </c>
      <c r="J21" s="62" t="s">
        <v>56</v>
      </c>
      <c r="K21" s="1">
        <f>AA12*AB13*AB14*AB15+AA13*AB12*AB14*AB15+AA14*AB12*AB13*AB15+AA15*AB12*AB13*AB14</f>
        <v>0.18540460511849022</v>
      </c>
      <c r="L21" s="1">
        <f>AC15+1*L5-F15</f>
        <v>143.33333333333331</v>
      </c>
      <c r="M21" s="1">
        <f>B21*C21*AH12+E21*F21*AH13+H21*I21*AH14+K21*L21*AH15</f>
        <v>2834.9768739550432</v>
      </c>
      <c r="O21" s="1" t="s">
        <v>30</v>
      </c>
      <c r="P21" s="1">
        <f>1*H6</f>
        <v>4320</v>
      </c>
      <c r="Q21" s="1" t="s">
        <v>144</v>
      </c>
      <c r="R21" s="1">
        <f t="shared" si="7"/>
        <v>29063.913982994556</v>
      </c>
    </row>
    <row r="22" spans="1:21" ht="30" x14ac:dyDescent="0.25">
      <c r="I22" s="84"/>
      <c r="J22" s="62" t="s">
        <v>52</v>
      </c>
      <c r="K22" s="85">
        <f>AB12*AB13*AB14*AB15</f>
        <v>2.1467175154336739E-2</v>
      </c>
      <c r="L22" s="1">
        <f>AC15+0*L5-F15</f>
        <v>131.33333333333331</v>
      </c>
      <c r="M22" s="1">
        <f>B22*C22*AH12+E22*F22*AH13+H22*I22*AH14+K22*L22*AH15</f>
        <v>239.64523197291243</v>
      </c>
      <c r="O22" s="116" t="s">
        <v>65</v>
      </c>
      <c r="P22" s="117">
        <f>SUM(P18:P21)</f>
        <v>60240</v>
      </c>
      <c r="Q22" s="114" t="s">
        <v>108</v>
      </c>
      <c r="R22" s="115">
        <f>SUM(R18:R21)</f>
        <v>75602.498397196876</v>
      </c>
      <c r="T22" t="s">
        <v>134</v>
      </c>
      <c r="U22">
        <f>R22/AC15</f>
        <v>278.6332864761556</v>
      </c>
    </row>
    <row r="23" spans="1:21" x14ac:dyDescent="0.25">
      <c r="L23" s="135" t="s">
        <v>63</v>
      </c>
      <c r="M23" s="136">
        <f>SUM(M18:M22)</f>
        <v>19735.039231786766</v>
      </c>
      <c r="T23" t="s">
        <v>136</v>
      </c>
      <c r="U23">
        <f>P22/AC15</f>
        <v>222.01474201474204</v>
      </c>
    </row>
    <row r="24" spans="1:21" ht="15.75" customHeight="1" x14ac:dyDescent="0.25">
      <c r="A24" s="137" t="s">
        <v>90</v>
      </c>
      <c r="B24" s="137"/>
      <c r="C24" s="137"/>
      <c r="D24" s="137"/>
      <c r="L24" s="135"/>
      <c r="M24" s="136"/>
      <c r="T24" t="s">
        <v>138</v>
      </c>
      <c r="U24" t="e">
        <f>#REF!/AC15</f>
        <v>#REF!</v>
      </c>
    </row>
    <row r="25" spans="1:21" ht="27.75" customHeight="1" x14ac:dyDescent="0.25">
      <c r="A25" s="118" t="s">
        <v>32</v>
      </c>
      <c r="B25" s="119" t="s">
        <v>44</v>
      </c>
      <c r="C25" s="121" t="s">
        <v>35</v>
      </c>
      <c r="D25" s="120" t="s">
        <v>137</v>
      </c>
      <c r="O25" s="131" t="s">
        <v>81</v>
      </c>
      <c r="P25" s="131"/>
      <c r="Q25" s="131">
        <f>(R22+P22+M23+D30)/AC15</f>
        <v>1040.5191804507997</v>
      </c>
      <c r="R25" s="131"/>
    </row>
    <row r="26" spans="1:21" x14ac:dyDescent="0.25">
      <c r="A26" s="120">
        <v>3</v>
      </c>
      <c r="B26" s="120">
        <v>45.666666666666664</v>
      </c>
      <c r="C26" s="120">
        <v>95</v>
      </c>
      <c r="D26" s="120">
        <v>0</v>
      </c>
    </row>
    <row r="27" spans="1:21" x14ac:dyDescent="0.25">
      <c r="A27" s="120">
        <v>1</v>
      </c>
      <c r="B27" s="120">
        <v>108.66666666666666</v>
      </c>
      <c r="C27" s="120">
        <v>106</v>
      </c>
      <c r="D27" s="120">
        <f>(B27-C27)*1.5*250</f>
        <v>999.99999999999648</v>
      </c>
    </row>
    <row r="28" spans="1:21" x14ac:dyDescent="0.25">
      <c r="A28" s="120">
        <v>2</v>
      </c>
      <c r="B28" s="120">
        <v>193.66666666666666</v>
      </c>
      <c r="C28" s="120">
        <v>76</v>
      </c>
      <c r="D28" s="120">
        <f>1.5*((B28-B27)*250+(B27-C28)*500)</f>
        <v>56374.999999999993</v>
      </c>
    </row>
    <row r="29" spans="1:21" x14ac:dyDescent="0.25">
      <c r="A29" s="120">
        <v>4</v>
      </c>
      <c r="B29" s="120">
        <v>271.33333333333331</v>
      </c>
      <c r="C29" s="120">
        <v>140</v>
      </c>
      <c r="D29" s="120">
        <f>1.5*((B29-B28)*250+(B28-C29)*500)</f>
        <v>69374.999999999985</v>
      </c>
    </row>
    <row r="30" spans="1:21" x14ac:dyDescent="0.25">
      <c r="A30" s="128" t="s">
        <v>80</v>
      </c>
      <c r="B30" s="129"/>
      <c r="C30" s="130"/>
      <c r="D30" s="123">
        <f>SUM(D26:D29)</f>
        <v>126749.99999999997</v>
      </c>
    </row>
  </sheetData>
  <mergeCells count="31">
    <mergeCell ref="O25:P25"/>
    <mergeCell ref="Q25:R25"/>
    <mergeCell ref="A30:C30"/>
    <mergeCell ref="A16:J16"/>
    <mergeCell ref="O17:P17"/>
    <mergeCell ref="Q17:R17"/>
    <mergeCell ref="L23:L24"/>
    <mergeCell ref="M23:M24"/>
    <mergeCell ref="A24:D24"/>
    <mergeCell ref="AH10:AH11"/>
    <mergeCell ref="M5:M6"/>
    <mergeCell ref="N5:N6"/>
    <mergeCell ref="A8:A10"/>
    <mergeCell ref="B8:E10"/>
    <mergeCell ref="G10:K10"/>
    <mergeCell ref="L10:P10"/>
    <mergeCell ref="Q10:U10"/>
    <mergeCell ref="V10:Z10"/>
    <mergeCell ref="AA10:AB10"/>
    <mergeCell ref="AC10:AC11"/>
    <mergeCell ref="AD10:AG10"/>
    <mergeCell ref="A1:M1"/>
    <mergeCell ref="O1:V1"/>
    <mergeCell ref="O2:O3"/>
    <mergeCell ref="P2:P3"/>
    <mergeCell ref="Q2:Q3"/>
    <mergeCell ref="T2:T3"/>
    <mergeCell ref="G3:G6"/>
    <mergeCell ref="I3:I6"/>
    <mergeCell ref="K5:K6"/>
    <mergeCell ref="L5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13"/>
  <sheetViews>
    <sheetView topLeftCell="A148" zoomScaleNormal="100" workbookViewId="0">
      <selection activeCell="AA24" sqref="AA24"/>
    </sheetView>
  </sheetViews>
  <sheetFormatPr defaultRowHeight="15" x14ac:dyDescent="0.25"/>
  <cols>
    <col min="1" max="1" width="9.28515625" customWidth="1"/>
    <col min="2" max="2" width="12" bestFit="1" customWidth="1"/>
    <col min="3" max="3" width="9.85546875" customWidth="1"/>
    <col min="4" max="4" width="8.42578125" customWidth="1"/>
    <col min="5" max="6" width="12" bestFit="1" customWidth="1"/>
    <col min="7" max="7" width="11.5703125" bestFit="1" customWidth="1"/>
    <col min="8" max="8" width="12" bestFit="1" customWidth="1"/>
    <col min="9" max="9" width="16.28515625" customWidth="1"/>
    <col min="10" max="10" width="12.42578125" customWidth="1"/>
    <col min="11" max="11" width="12.5703125" bestFit="1" customWidth="1"/>
    <col min="12" max="12" width="14.42578125" customWidth="1"/>
    <col min="13" max="13" width="13.42578125" customWidth="1"/>
    <col min="14" max="16" width="12" bestFit="1" customWidth="1"/>
    <col min="17" max="17" width="12.28515625" customWidth="1"/>
    <col min="18" max="18" width="14.140625" customWidth="1"/>
    <col min="19" max="20" width="12" bestFit="1" customWidth="1"/>
    <col min="21" max="21" width="14.28515625" bestFit="1" customWidth="1"/>
    <col min="22" max="22" width="10.7109375" bestFit="1" customWidth="1"/>
    <col min="23" max="23" width="7.140625" bestFit="1" customWidth="1"/>
    <col min="24" max="28" width="12" bestFit="1" customWidth="1"/>
    <col min="29" max="29" width="10.28515625" customWidth="1"/>
    <col min="30" max="33" width="3.140625" bestFit="1" customWidth="1"/>
  </cols>
  <sheetData>
    <row r="1" spans="1:34" x14ac:dyDescent="0.25">
      <c r="A1" s="181" t="s">
        <v>93</v>
      </c>
      <c r="B1" s="182"/>
    </row>
    <row r="2" spans="1:34" ht="15.75" thickBot="1" x14ac:dyDescent="0.3">
      <c r="A2" s="183"/>
      <c r="B2" s="184"/>
    </row>
    <row r="3" spans="1:34" ht="19.5" customHeight="1" x14ac:dyDescent="0.35">
      <c r="A3" s="185" t="s">
        <v>14</v>
      </c>
      <c r="B3" s="18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O3" s="166" t="s">
        <v>72</v>
      </c>
      <c r="P3" s="166"/>
      <c r="Q3" s="166"/>
      <c r="R3" s="166"/>
      <c r="S3" s="166"/>
      <c r="T3" s="166"/>
      <c r="U3" s="166"/>
      <c r="V3" s="166"/>
    </row>
    <row r="4" spans="1:34" ht="36" x14ac:dyDescent="0.25">
      <c r="A4" s="4" t="s">
        <v>15</v>
      </c>
      <c r="B4" s="4" t="s">
        <v>16</v>
      </c>
      <c r="C4" s="4" t="s">
        <v>31</v>
      </c>
      <c r="D4" s="6" t="s">
        <v>17</v>
      </c>
      <c r="E4" s="6" t="s">
        <v>18</v>
      </c>
      <c r="F4" s="6" t="s">
        <v>19</v>
      </c>
      <c r="G4" s="6" t="s">
        <v>20</v>
      </c>
      <c r="H4" s="6" t="s">
        <v>21</v>
      </c>
      <c r="I4" s="6" t="s">
        <v>22</v>
      </c>
      <c r="J4" s="6" t="s">
        <v>23</v>
      </c>
      <c r="K4" s="6" t="s">
        <v>24</v>
      </c>
      <c r="L4" s="6" t="s">
        <v>25</v>
      </c>
      <c r="M4" s="6" t="s">
        <v>26</v>
      </c>
      <c r="N4" s="8"/>
      <c r="O4" s="167" t="s">
        <v>32</v>
      </c>
      <c r="P4" s="167" t="s">
        <v>35</v>
      </c>
      <c r="Q4" s="167" t="s">
        <v>66</v>
      </c>
      <c r="R4" s="91" t="s">
        <v>67</v>
      </c>
      <c r="S4" s="91" t="s">
        <v>68</v>
      </c>
      <c r="T4" s="167" t="s">
        <v>69</v>
      </c>
      <c r="U4" s="71" t="s">
        <v>33</v>
      </c>
      <c r="V4" s="91" t="s">
        <v>70</v>
      </c>
    </row>
    <row r="5" spans="1:34" x14ac:dyDescent="0.25">
      <c r="A5" s="3" t="s">
        <v>27</v>
      </c>
      <c r="B5" s="3">
        <v>0</v>
      </c>
      <c r="C5" s="3">
        <v>0.3</v>
      </c>
      <c r="D5" s="3">
        <v>243</v>
      </c>
      <c r="E5" s="3">
        <v>1.73</v>
      </c>
      <c r="F5" s="3">
        <v>5</v>
      </c>
      <c r="G5" s="169">
        <v>12</v>
      </c>
      <c r="H5" s="3">
        <v>1820</v>
      </c>
      <c r="I5" s="169">
        <v>19645</v>
      </c>
      <c r="J5" s="3">
        <v>20</v>
      </c>
      <c r="K5" s="3">
        <v>40</v>
      </c>
      <c r="L5" s="3">
        <v>500</v>
      </c>
      <c r="M5" s="3">
        <v>1000</v>
      </c>
      <c r="O5" s="168"/>
      <c r="P5" s="168"/>
      <c r="Q5" s="168"/>
      <c r="R5" s="72" t="s">
        <v>71</v>
      </c>
      <c r="S5" s="72" t="s">
        <v>71</v>
      </c>
      <c r="T5" s="168"/>
      <c r="U5" s="73">
        <v>500</v>
      </c>
      <c r="V5" s="3">
        <v>1.5</v>
      </c>
    </row>
    <row r="6" spans="1:34" x14ac:dyDescent="0.25">
      <c r="A6" s="3" t="s">
        <v>28</v>
      </c>
      <c r="B6" s="3">
        <v>0</v>
      </c>
      <c r="C6" s="3">
        <v>0.3</v>
      </c>
      <c r="D6" s="3">
        <v>254</v>
      </c>
      <c r="E6" s="3">
        <v>1.88</v>
      </c>
      <c r="F6" s="3">
        <v>3</v>
      </c>
      <c r="G6" s="170"/>
      <c r="H6" s="3">
        <v>2720</v>
      </c>
      <c r="I6" s="170"/>
      <c r="J6" s="5"/>
      <c r="K6" s="5"/>
      <c r="L6" s="5"/>
      <c r="M6" s="5"/>
      <c r="O6" s="74">
        <v>1</v>
      </c>
      <c r="P6" s="74">
        <v>106</v>
      </c>
      <c r="Q6" s="74">
        <v>110</v>
      </c>
      <c r="R6" s="74">
        <v>6</v>
      </c>
      <c r="S6" s="74">
        <v>5</v>
      </c>
      <c r="T6" s="74">
        <f>R6*$U$5/60+S6</f>
        <v>55</v>
      </c>
      <c r="U6" s="75"/>
    </row>
    <row r="7" spans="1:34" x14ac:dyDescent="0.25">
      <c r="A7" s="3" t="s">
        <v>29</v>
      </c>
      <c r="B7" s="3">
        <v>0</v>
      </c>
      <c r="C7" s="3">
        <v>0.3</v>
      </c>
      <c r="D7" s="3">
        <v>143</v>
      </c>
      <c r="E7" s="3">
        <v>2.4300000000000002</v>
      </c>
      <c r="F7" s="3">
        <v>8</v>
      </c>
      <c r="G7" s="170"/>
      <c r="H7" s="3">
        <v>3700</v>
      </c>
      <c r="I7" s="170"/>
      <c r="J7" s="5"/>
      <c r="K7" s="140" t="s">
        <v>73</v>
      </c>
      <c r="L7" s="141">
        <v>12</v>
      </c>
      <c r="M7" s="140" t="s">
        <v>74</v>
      </c>
      <c r="N7" s="141">
        <v>19645</v>
      </c>
      <c r="O7" s="74">
        <v>2</v>
      </c>
      <c r="P7" s="74">
        <v>76</v>
      </c>
      <c r="Q7" s="74">
        <v>40</v>
      </c>
      <c r="R7" s="74">
        <v>9</v>
      </c>
      <c r="S7" s="74">
        <v>2</v>
      </c>
      <c r="T7" s="74">
        <f t="shared" ref="T7:T9" si="0">R7*$U$5/60+S7</f>
        <v>77</v>
      </c>
      <c r="U7" s="75"/>
    </row>
    <row r="8" spans="1:34" x14ac:dyDescent="0.25">
      <c r="A8" s="3" t="s">
        <v>30</v>
      </c>
      <c r="B8" s="3">
        <v>0</v>
      </c>
      <c r="C8" s="3">
        <v>0.3</v>
      </c>
      <c r="D8" s="3">
        <v>449</v>
      </c>
      <c r="E8" s="3">
        <v>2.5299999999999998</v>
      </c>
      <c r="F8" s="3">
        <v>4</v>
      </c>
      <c r="G8" s="171"/>
      <c r="H8" s="3">
        <v>4320</v>
      </c>
      <c r="I8" s="171"/>
      <c r="J8" s="5"/>
      <c r="K8" s="140"/>
      <c r="L8" s="141"/>
      <c r="M8" s="140"/>
      <c r="N8" s="141"/>
      <c r="O8" s="74">
        <v>3</v>
      </c>
      <c r="P8" s="74">
        <v>95</v>
      </c>
      <c r="Q8" s="74">
        <v>67</v>
      </c>
      <c r="R8" s="74">
        <v>5</v>
      </c>
      <c r="S8" s="74">
        <v>4</v>
      </c>
      <c r="T8" s="74">
        <f t="shared" si="0"/>
        <v>45.666666666666664</v>
      </c>
      <c r="U8" s="75"/>
    </row>
    <row r="9" spans="1:34" ht="15.75" thickBo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O9" s="74">
        <v>4</v>
      </c>
      <c r="P9" s="74">
        <v>140</v>
      </c>
      <c r="Q9" s="94">
        <v>85</v>
      </c>
      <c r="R9" s="94">
        <v>8</v>
      </c>
      <c r="S9" s="94">
        <v>3</v>
      </c>
      <c r="T9" s="74">
        <f t="shared" si="0"/>
        <v>69.666666666666671</v>
      </c>
    </row>
    <row r="10" spans="1:34" ht="15.75" customHeight="1" x14ac:dyDescent="0.25">
      <c r="A10" s="142" t="s">
        <v>36</v>
      </c>
      <c r="B10" s="144" t="s">
        <v>106</v>
      </c>
      <c r="C10" s="144"/>
      <c r="D10" s="144"/>
      <c r="E10" s="144"/>
      <c r="F10" s="20" t="s">
        <v>27</v>
      </c>
      <c r="G10" s="20" t="s">
        <v>28</v>
      </c>
      <c r="H10" s="20" t="s">
        <v>29</v>
      </c>
      <c r="I10" s="20" t="s">
        <v>30</v>
      </c>
    </row>
    <row r="11" spans="1:34" ht="15.75" customHeight="1" thickBot="1" x14ac:dyDescent="0.3">
      <c r="A11" s="143"/>
      <c r="B11" s="145"/>
      <c r="C11" s="145"/>
      <c r="D11" s="145"/>
      <c r="E11" s="145"/>
      <c r="F11" s="20">
        <v>126</v>
      </c>
      <c r="G11" s="26">
        <v>91</v>
      </c>
      <c r="H11" s="26">
        <v>67</v>
      </c>
      <c r="I11" s="26">
        <v>201</v>
      </c>
    </row>
    <row r="12" spans="1:34" ht="15.75" customHeight="1" thickBot="1" x14ac:dyDescent="0.3">
      <c r="A12" s="143"/>
      <c r="B12" s="145"/>
      <c r="C12" s="145"/>
      <c r="D12" s="145"/>
      <c r="E12" s="145"/>
      <c r="F12" s="7"/>
      <c r="G12" s="146" t="s">
        <v>27</v>
      </c>
      <c r="H12" s="147"/>
      <c r="I12" s="147"/>
      <c r="J12" s="147"/>
      <c r="K12" s="148"/>
      <c r="L12" s="149" t="s">
        <v>28</v>
      </c>
      <c r="M12" s="150"/>
      <c r="N12" s="150"/>
      <c r="O12" s="150"/>
      <c r="P12" s="151"/>
      <c r="Q12" s="152" t="s">
        <v>29</v>
      </c>
      <c r="R12" s="153"/>
      <c r="S12" s="153"/>
      <c r="T12" s="153"/>
      <c r="U12" s="154"/>
      <c r="V12" s="155" t="s">
        <v>30</v>
      </c>
      <c r="W12" s="156"/>
      <c r="X12" s="156"/>
      <c r="Y12" s="156"/>
      <c r="Z12" s="157"/>
      <c r="AA12" s="158" t="s">
        <v>42</v>
      </c>
      <c r="AB12" s="159"/>
      <c r="AC12" s="160" t="s">
        <v>44</v>
      </c>
      <c r="AD12" s="162" t="s">
        <v>47</v>
      </c>
      <c r="AE12" s="163"/>
      <c r="AF12" s="163"/>
      <c r="AG12" s="164"/>
      <c r="AH12" s="138" t="s">
        <v>62</v>
      </c>
    </row>
    <row r="13" spans="1:34" ht="36.75" x14ac:dyDescent="0.25">
      <c r="A13" s="21" t="s">
        <v>32</v>
      </c>
      <c r="B13" s="22" t="s">
        <v>37</v>
      </c>
      <c r="C13" s="23" t="s">
        <v>33</v>
      </c>
      <c r="D13" s="22" t="s">
        <v>38</v>
      </c>
      <c r="E13" s="22" t="s">
        <v>34</v>
      </c>
      <c r="F13" s="25" t="s">
        <v>35</v>
      </c>
      <c r="G13" s="27" t="s">
        <v>39</v>
      </c>
      <c r="H13" s="10" t="s">
        <v>40</v>
      </c>
      <c r="I13" s="10" t="s">
        <v>45</v>
      </c>
      <c r="J13" s="10" t="s">
        <v>46</v>
      </c>
      <c r="K13" s="28" t="s">
        <v>41</v>
      </c>
      <c r="L13" s="30" t="s">
        <v>39</v>
      </c>
      <c r="M13" s="13" t="s">
        <v>40</v>
      </c>
      <c r="N13" s="13" t="s">
        <v>45</v>
      </c>
      <c r="O13" s="13" t="s">
        <v>46</v>
      </c>
      <c r="P13" s="31" t="s">
        <v>41</v>
      </c>
      <c r="Q13" s="33" t="s">
        <v>39</v>
      </c>
      <c r="R13" s="12" t="s">
        <v>40</v>
      </c>
      <c r="S13" s="12" t="s">
        <v>45</v>
      </c>
      <c r="T13" s="12" t="s">
        <v>46</v>
      </c>
      <c r="U13" s="34" t="s">
        <v>41</v>
      </c>
      <c r="V13" s="36" t="s">
        <v>39</v>
      </c>
      <c r="W13" s="11" t="s">
        <v>40</v>
      </c>
      <c r="X13" s="11" t="s">
        <v>45</v>
      </c>
      <c r="Y13" s="11" t="s">
        <v>46</v>
      </c>
      <c r="Z13" s="37" t="s">
        <v>41</v>
      </c>
      <c r="AA13" s="39" t="s">
        <v>41</v>
      </c>
      <c r="AB13" s="40" t="s">
        <v>43</v>
      </c>
      <c r="AC13" s="161"/>
      <c r="AD13" s="43" t="s">
        <v>27</v>
      </c>
      <c r="AE13" s="1" t="s">
        <v>28</v>
      </c>
      <c r="AF13" s="1" t="s">
        <v>29</v>
      </c>
      <c r="AG13" s="1" t="s">
        <v>30</v>
      </c>
      <c r="AH13" s="139"/>
    </row>
    <row r="14" spans="1:34" x14ac:dyDescent="0.25">
      <c r="A14" s="24">
        <v>3</v>
      </c>
      <c r="B14" s="9">
        <v>5</v>
      </c>
      <c r="C14" s="9">
        <v>500</v>
      </c>
      <c r="D14" s="9">
        <v>4</v>
      </c>
      <c r="E14" s="48">
        <f>B14*C14/60+D14</f>
        <v>45.666666666666664</v>
      </c>
      <c r="F14" s="14">
        <v>95</v>
      </c>
      <c r="G14" s="49">
        <f>B$5*(1-AD14*C$5)</f>
        <v>0</v>
      </c>
      <c r="H14" s="50">
        <f>G14+E14</f>
        <v>45.666666666666664</v>
      </c>
      <c r="I14" s="15">
        <f>(H14/D$5)^E$5</f>
        <v>5.5463587496332782E-2</v>
      </c>
      <c r="J14" s="15">
        <f>(G14/D$5)^E$5</f>
        <v>0</v>
      </c>
      <c r="K14" s="29">
        <f>1-EXP(J14-I14)</f>
        <v>5.3953529036131931E-2</v>
      </c>
      <c r="L14" s="51">
        <f>B$6*(1-AE14*C$6)</f>
        <v>0</v>
      </c>
      <c r="M14" s="52">
        <f>L14+E14</f>
        <v>45.666666666666664</v>
      </c>
      <c r="N14" s="17">
        <f>(M14/D$6)^E$6</f>
        <v>3.9715434673642101E-2</v>
      </c>
      <c r="O14" s="17">
        <f>(L14/D$6)^E$6</f>
        <v>0</v>
      </c>
      <c r="P14" s="32">
        <f>1-EXP(O14-N14)</f>
        <v>3.8937114582545562E-2</v>
      </c>
      <c r="Q14" s="53">
        <f>B$7*(1-AF14*C$7)</f>
        <v>0</v>
      </c>
      <c r="R14" s="54">
        <f>Q14+E14</f>
        <v>45.666666666666664</v>
      </c>
      <c r="S14" s="16">
        <f>(R14/D$7)^E$7</f>
        <v>6.2425173515745024E-2</v>
      </c>
      <c r="T14" s="16">
        <f>(Q14/D$7)^E$7</f>
        <v>0</v>
      </c>
      <c r="U14" s="35">
        <f>1-EXP(T14-S14)</f>
        <v>6.0516641579816954E-2</v>
      </c>
      <c r="V14" s="55">
        <f>B$8*(1-AG14*C$8)</f>
        <v>0</v>
      </c>
      <c r="W14" s="56">
        <f>V14+E14</f>
        <v>45.666666666666664</v>
      </c>
      <c r="X14" s="18">
        <f>(W14/D$8)^E$8</f>
        <v>3.0803709406480337E-3</v>
      </c>
      <c r="Y14" s="18">
        <f>(V14/D$8)^E$8</f>
        <v>0</v>
      </c>
      <c r="Z14" s="38">
        <f>1-EXP(Y14-X14)</f>
        <v>3.0756314657778283E-3</v>
      </c>
      <c r="AA14" s="41">
        <f>K14*P14*U14*Z14</f>
        <v>3.9101438569080559E-7</v>
      </c>
      <c r="AB14" s="42">
        <f>1-AA14</f>
        <v>0.99999960898561435</v>
      </c>
      <c r="AC14" s="47">
        <f>(AD14*F$5+AE14*F$6+AF14*F$7+AG14*F$8)+E14</f>
        <v>45.666666666666664</v>
      </c>
      <c r="AD14" s="43">
        <v>0</v>
      </c>
      <c r="AE14" s="1">
        <v>0</v>
      </c>
      <c r="AF14" s="1">
        <v>0</v>
      </c>
      <c r="AG14" s="1">
        <v>0</v>
      </c>
      <c r="AH14" s="44">
        <v>67</v>
      </c>
    </row>
    <row r="15" spans="1:34" x14ac:dyDescent="0.25">
      <c r="A15" s="24">
        <v>1</v>
      </c>
      <c r="B15" s="9">
        <v>6</v>
      </c>
      <c r="C15" s="9">
        <v>500</v>
      </c>
      <c r="D15" s="9">
        <v>5</v>
      </c>
      <c r="E15" s="9">
        <f t="shared" ref="E15:E17" si="1">B15*C15/60+D15</f>
        <v>55</v>
      </c>
      <c r="F15" s="14">
        <v>106</v>
      </c>
      <c r="G15" s="49">
        <f>H14*(1-AD15*C$5)</f>
        <v>45.666666666666664</v>
      </c>
      <c r="H15" s="50">
        <f>G15+E15</f>
        <v>100.66666666666666</v>
      </c>
      <c r="I15" s="15">
        <f>(H15/D$5)^E$5</f>
        <v>0.21771752434165836</v>
      </c>
      <c r="J15" s="15">
        <f>(G15/D$5)^E$5</f>
        <v>5.5463587496332782E-2</v>
      </c>
      <c r="K15" s="29">
        <f>1-EXP(J15-I15)</f>
        <v>0.14977472639881173</v>
      </c>
      <c r="L15" s="51">
        <f>M14*(1-AE15*C$6)</f>
        <v>45.666666666666664</v>
      </c>
      <c r="M15" s="52">
        <f>L15+E15</f>
        <v>100.66666666666666</v>
      </c>
      <c r="N15" s="17">
        <f>(M15/D$6)^E$6</f>
        <v>0.17552448466860393</v>
      </c>
      <c r="O15" s="17">
        <f>(L15/D$6)^E$6</f>
        <v>3.9715434673642101E-2</v>
      </c>
      <c r="P15" s="32">
        <f>1-EXP(O15-N15)</f>
        <v>0.12699068229244426</v>
      </c>
      <c r="Q15" s="53">
        <f>R14*(1-AF15*C$7)</f>
        <v>31.966666666666661</v>
      </c>
      <c r="R15" s="54">
        <f>Q15+E15</f>
        <v>86.966666666666669</v>
      </c>
      <c r="S15" s="16">
        <f>(R15/D$7)^E$7</f>
        <v>0.29864881248498298</v>
      </c>
      <c r="T15" s="16">
        <f>(Q15/D$7)^E$7</f>
        <v>2.6239043252001361E-2</v>
      </c>
      <c r="U15" s="35">
        <f>1-EXP(T15-S15)</f>
        <v>0.23845785939332009</v>
      </c>
      <c r="V15" s="55">
        <f>W14*(1-AG15*C$8)</f>
        <v>45.666666666666664</v>
      </c>
      <c r="W15" s="56">
        <f>V15+E15</f>
        <v>100.66666666666666</v>
      </c>
      <c r="X15" s="18">
        <f>(W15/D$8)^E$8</f>
        <v>2.275713304339216E-2</v>
      </c>
      <c r="Y15" s="18">
        <f>(V15/D$8)^E$8</f>
        <v>3.0803709406480337E-3</v>
      </c>
      <c r="Z15" s="38">
        <f>1-EXP(Y15-X15)</f>
        <v>1.9484438122753578E-2</v>
      </c>
      <c r="AA15" s="41">
        <f>K15*P15*U15*Z15</f>
        <v>8.8371030420928293E-5</v>
      </c>
      <c r="AB15" s="42">
        <f>1-AA15</f>
        <v>0.99991162896957908</v>
      </c>
      <c r="AC15" s="47">
        <f>AF15*F$7+E15+AC14</f>
        <v>108.66666666666666</v>
      </c>
      <c r="AD15" s="43">
        <v>0</v>
      </c>
      <c r="AE15" s="1">
        <v>0</v>
      </c>
      <c r="AF15" s="1">
        <v>1</v>
      </c>
      <c r="AG15" s="1">
        <v>0</v>
      </c>
      <c r="AH15" s="44">
        <v>110</v>
      </c>
    </row>
    <row r="16" spans="1:34" x14ac:dyDescent="0.25">
      <c r="A16" s="57">
        <v>2</v>
      </c>
      <c r="B16" s="58">
        <v>9</v>
      </c>
      <c r="C16" s="58">
        <v>500</v>
      </c>
      <c r="D16" s="58">
        <v>2</v>
      </c>
      <c r="E16" s="66">
        <f t="shared" si="1"/>
        <v>77</v>
      </c>
      <c r="F16" s="67">
        <v>76</v>
      </c>
      <c r="G16" s="68">
        <f>H15*(1-AD16*C$5)</f>
        <v>70.466666666666654</v>
      </c>
      <c r="H16" s="69">
        <f>G16+E16</f>
        <v>147.46666666666664</v>
      </c>
      <c r="I16" s="70">
        <f>(H16/D$5)^E$5</f>
        <v>0.42144560641664969</v>
      </c>
      <c r="J16" s="70">
        <f>(G16/D$5)^E$5</f>
        <v>0.11746622079432449</v>
      </c>
      <c r="K16" s="29">
        <f>1-EXP(J16-I16)</f>
        <v>0.26212392285005737</v>
      </c>
      <c r="L16" s="51">
        <f>M15*(1-AE16*C$6)</f>
        <v>70.466666666666654</v>
      </c>
      <c r="M16" s="52">
        <f>L16+E16</f>
        <v>147.46666666666664</v>
      </c>
      <c r="N16" s="17">
        <f>(M16/D$6)^E$6</f>
        <v>0.35979661759585591</v>
      </c>
      <c r="O16" s="17">
        <f>(L16/D$6)^E$6</f>
        <v>8.9768097666615101E-2</v>
      </c>
      <c r="P16" s="32">
        <f>1-EXP(O16-N16)</f>
        <v>0.23664227688185091</v>
      </c>
      <c r="Q16" s="53">
        <f>R15*(1-AF16*C$7)</f>
        <v>60.876666666666665</v>
      </c>
      <c r="R16" s="54">
        <f>Q16+E16</f>
        <v>137.87666666666667</v>
      </c>
      <c r="S16" s="16">
        <f>(R16/D$7)^E$7</f>
        <v>0.91515785746077072</v>
      </c>
      <c r="T16" s="16">
        <f>(Q16/D$7)^E$7</f>
        <v>0.12553043374362163</v>
      </c>
      <c r="U16" s="35">
        <f>1-EXP(T16-S16)</f>
        <v>0.5459860814071158</v>
      </c>
      <c r="V16" s="55">
        <f>W15*(1-AG16*C$8)</f>
        <v>100.66666666666666</v>
      </c>
      <c r="W16" s="56">
        <f>V16+E16</f>
        <v>177.66666666666666</v>
      </c>
      <c r="X16" s="18">
        <f>(W16/D$8)^E$8</f>
        <v>9.5789922449281015E-2</v>
      </c>
      <c r="Y16" s="18">
        <f>(V16/D$8)^E$8</f>
        <v>2.275713304339216E-2</v>
      </c>
      <c r="Z16" s="38">
        <f>1-EXP(Y16-X16)</f>
        <v>7.0429650533415211E-2</v>
      </c>
      <c r="AA16" s="41">
        <f>K16*P16*U16*Z16</f>
        <v>2.3852620533751511E-3</v>
      </c>
      <c r="AB16" s="42">
        <f>1-AA16</f>
        <v>0.99761473794662481</v>
      </c>
      <c r="AC16" s="47">
        <f>(AF16*F$7)+E16+AC15</f>
        <v>193.66666666666666</v>
      </c>
      <c r="AD16" s="77">
        <v>1</v>
      </c>
      <c r="AE16" s="78">
        <v>1</v>
      </c>
      <c r="AF16" s="78">
        <v>1</v>
      </c>
      <c r="AG16" s="78">
        <v>0</v>
      </c>
      <c r="AH16" s="79">
        <v>40</v>
      </c>
    </row>
    <row r="17" spans="1:34" ht="15.75" thickBot="1" x14ac:dyDescent="0.3">
      <c r="A17" s="76">
        <v>4</v>
      </c>
      <c r="B17" s="58">
        <v>8</v>
      </c>
      <c r="C17" s="58">
        <v>500</v>
      </c>
      <c r="D17" s="58">
        <v>3</v>
      </c>
      <c r="E17" s="66">
        <f t="shared" si="1"/>
        <v>69.666666666666671</v>
      </c>
      <c r="F17" s="67">
        <v>140</v>
      </c>
      <c r="G17" s="68">
        <f>H16*(1-AD17*C$5)</f>
        <v>103.22666666666665</v>
      </c>
      <c r="H17" s="69">
        <f>G17+E17</f>
        <v>172.89333333333332</v>
      </c>
      <c r="I17" s="70">
        <f>(H17/D$5)^E$5</f>
        <v>0.55495467561038181</v>
      </c>
      <c r="J17" s="70">
        <f>(G17/D$5)^E$5</f>
        <v>0.22738464809313327</v>
      </c>
      <c r="K17" s="29">
        <f>1-EXP(J17-I17)</f>
        <v>0.27932717742005098</v>
      </c>
      <c r="L17" s="51">
        <f>M16*(1-AE17*C$6)</f>
        <v>103.22666666666665</v>
      </c>
      <c r="M17" s="52">
        <f>L17+E17</f>
        <v>172.89333333333332</v>
      </c>
      <c r="N17" s="17">
        <f>(M17/D$6)^E$6</f>
        <v>0.48521667557272297</v>
      </c>
      <c r="O17" s="17">
        <f>(L17/D$6)^E$6</f>
        <v>0.18400998566919444</v>
      </c>
      <c r="P17" s="32">
        <f>1-EXP(O17-N17)</f>
        <v>0.26007517804950775</v>
      </c>
      <c r="Q17" s="53">
        <f>R16*(1-AF17*C$7)</f>
        <v>96.513666666666666</v>
      </c>
      <c r="R17" s="54">
        <f>Q17+E17</f>
        <v>166.18033333333335</v>
      </c>
      <c r="S17" s="16">
        <f>(R17/D$7)^E$7</f>
        <v>1.4405950546284723</v>
      </c>
      <c r="T17" s="16">
        <f>(Q17/D$7)^E$7</f>
        <v>0.38466639741522679</v>
      </c>
      <c r="U17" s="35">
        <f>1-EXP(T17-S17)</f>
        <v>0.65213077400817432</v>
      </c>
      <c r="V17" s="55">
        <f>W16*(1-AG17*C$8)</f>
        <v>124.36666666666665</v>
      </c>
      <c r="W17" s="56">
        <f>V17+E17</f>
        <v>194.0333333333333</v>
      </c>
      <c r="X17" s="18">
        <f>(W17/D$8)^E$8</f>
        <v>0.11971371522436358</v>
      </c>
      <c r="Y17" s="18">
        <f>(V17/D$8)^E$8</f>
        <v>3.8852401036237806E-2</v>
      </c>
      <c r="Z17" s="38">
        <f>1-EXP(Y17-X17)</f>
        <v>7.7678404505555187E-2</v>
      </c>
      <c r="AA17" s="41">
        <f>K17*P17*U17*Z17</f>
        <v>3.6799938177196523E-3</v>
      </c>
      <c r="AB17" s="42">
        <f>1-AA17</f>
        <v>0.99632000618228034</v>
      </c>
      <c r="AC17" s="47">
        <f>(AF17*F$7)+E17+AC16</f>
        <v>271.33333333333331</v>
      </c>
      <c r="AD17" s="80">
        <v>1</v>
      </c>
      <c r="AE17" s="45">
        <v>1</v>
      </c>
      <c r="AF17" s="81">
        <v>1</v>
      </c>
      <c r="AG17" s="45">
        <v>1</v>
      </c>
      <c r="AH17" s="82">
        <v>85</v>
      </c>
    </row>
    <row r="18" spans="1:34" ht="18.75" x14ac:dyDescent="0.3">
      <c r="A18" s="132" t="s">
        <v>53</v>
      </c>
      <c r="B18" s="132"/>
      <c r="C18" s="132"/>
      <c r="D18" s="132"/>
      <c r="E18" s="132"/>
      <c r="F18" s="132"/>
      <c r="G18" s="132"/>
      <c r="H18" s="132"/>
      <c r="I18" s="132"/>
      <c r="J18" s="132"/>
      <c r="AG18" s="46"/>
    </row>
    <row r="19" spans="1:34" ht="15.75" x14ac:dyDescent="0.25">
      <c r="A19" s="19" t="s">
        <v>54</v>
      </c>
      <c r="B19" s="60" t="s">
        <v>49</v>
      </c>
      <c r="C19" s="61" t="s">
        <v>50</v>
      </c>
      <c r="D19" s="19" t="s">
        <v>58</v>
      </c>
      <c r="E19" s="60" t="s">
        <v>57</v>
      </c>
      <c r="F19" s="61" t="s">
        <v>50</v>
      </c>
      <c r="G19" s="19" t="s">
        <v>48</v>
      </c>
      <c r="H19" s="60" t="s">
        <v>61</v>
      </c>
      <c r="I19" s="61" t="s">
        <v>50</v>
      </c>
      <c r="J19" s="19" t="s">
        <v>82</v>
      </c>
      <c r="K19" s="83" t="s">
        <v>84</v>
      </c>
      <c r="L19" s="61" t="s">
        <v>50</v>
      </c>
      <c r="M19" s="61" t="s">
        <v>85</v>
      </c>
      <c r="O19" s="174" t="s">
        <v>64</v>
      </c>
      <c r="P19" s="174"/>
      <c r="Q19" s="175" t="s">
        <v>109</v>
      </c>
      <c r="R19" s="175"/>
    </row>
    <row r="20" spans="1:34" ht="24.75" x14ac:dyDescent="0.25">
      <c r="A20" s="61" t="s">
        <v>51</v>
      </c>
      <c r="B20" s="1">
        <f>AA14</f>
        <v>3.9101438569080559E-7</v>
      </c>
      <c r="C20" s="59">
        <f>MAX(AC14+1*L7-F14,0)</f>
        <v>0</v>
      </c>
      <c r="D20" s="62" t="s">
        <v>55</v>
      </c>
      <c r="E20" s="1">
        <f>AA14*AA15</f>
        <v>3.4554344172902772E-11</v>
      </c>
      <c r="F20" s="1">
        <f>MAX(AC15+2*L7-F15,0)</f>
        <v>26.666666666666657</v>
      </c>
      <c r="G20" s="62" t="s">
        <v>59</v>
      </c>
      <c r="H20" s="1">
        <f>AA14*AA15*AA16</f>
        <v>8.2421165934889752E-14</v>
      </c>
      <c r="I20" s="1">
        <f>AC16+3*L7-F16</f>
        <v>153.66666666666666</v>
      </c>
      <c r="J20" s="62" t="s">
        <v>83</v>
      </c>
      <c r="K20" s="1">
        <f>AA14*AA15*AA16*AA17</f>
        <v>3.0330938108963992E-16</v>
      </c>
      <c r="L20" s="1">
        <f>AC17+4*L7-F17</f>
        <v>179.33333333333331</v>
      </c>
      <c r="M20" s="1">
        <f>B20*C20*AH14+E20*F20*AH15+H20*I20*AH16+K20*L20*AH17</f>
        <v>1.0187064845312695E-7</v>
      </c>
      <c r="O20" s="1" t="s">
        <v>27</v>
      </c>
      <c r="P20" s="1">
        <f>2*H5</f>
        <v>3640</v>
      </c>
      <c r="Q20" s="1">
        <f>(K14*(1-P14)*(1-U14)*(1-Z14))+(P14*(1-K14)*(1-U14)*(1-Z14))+(U14*(1-K14)*(1-P14)*(1-Z14))+(Z14*(1-K14)*(1-P14)*(1-U14))</f>
        <v>0.1405459062810282</v>
      </c>
      <c r="R20" s="1">
        <f>Q20*(L$7*(J$5*K$5+L$5)+I$5)</f>
        <v>4953.5404668748388</v>
      </c>
    </row>
    <row r="21" spans="1:34" ht="24.75" x14ac:dyDescent="0.25">
      <c r="A21" s="62" t="s">
        <v>52</v>
      </c>
      <c r="B21" s="1">
        <f>AB14</f>
        <v>0.99999960898561435</v>
      </c>
      <c r="C21" s="59">
        <f>MAX(AC14-F14,0)</f>
        <v>0</v>
      </c>
      <c r="D21" s="62" t="s">
        <v>56</v>
      </c>
      <c r="E21" s="1">
        <f>AA14*AB15+AA15*AB14</f>
        <v>8.8761975697930761E-5</v>
      </c>
      <c r="F21" s="1">
        <f>MAX(AC15+1*L7-F15,0)</f>
        <v>14.666666666666657</v>
      </c>
      <c r="G21" s="62" t="s">
        <v>60</v>
      </c>
      <c r="H21" s="1">
        <f>AA14*AA15*AB16+AA15*AA16*AB14+AA14*AA16*AB15</f>
        <v>2.1175504433788852E-7</v>
      </c>
      <c r="I21" s="1">
        <f>AC16+2*L7-F16</f>
        <v>141.66666666666666</v>
      </c>
      <c r="J21" s="62" t="s">
        <v>59</v>
      </c>
      <c r="K21">
        <f>AB14*AA15*AA16*AA17+AB15*AA14*AA16*AA17*+AB16*AA14*AA15*AA17+AB17*AA14*AA15*AA16</f>
        <v>7.7578059236523944E-10</v>
      </c>
      <c r="L21" s="1">
        <f>AC17+3*L7-F17</f>
        <v>167.33333333333331</v>
      </c>
      <c r="M21" s="1">
        <f>B21*C21*AH14+E21*F21*AH15+H21*I21*AH16+K21*L21*AH17</f>
        <v>0.14441363356320164</v>
      </c>
      <c r="O21" s="1" t="s">
        <v>28</v>
      </c>
      <c r="P21" s="1">
        <f>2*H6</f>
        <v>5440</v>
      </c>
      <c r="Q21" s="1">
        <f t="shared" ref="Q21:Q23" si="2">(K15*(1-P15)*(1-U15)*(1-Z15))+(P15*(1-K15)*(1-U15)*(1-Z15))+(U15*(1-K15)*(1-P15)*(1-Z15))+(Z15*(1-K15)*(1-P15)*(1-U15))</f>
        <v>0.36281870726993959</v>
      </c>
      <c r="R21" s="1">
        <f t="shared" ref="R21:R23" si="3">Q21*(L$7*(J$5*K$5+L$5)+I$5)</f>
        <v>12787.545337729021</v>
      </c>
    </row>
    <row r="22" spans="1:34" ht="24.75" x14ac:dyDescent="0.25">
      <c r="A22" s="1"/>
      <c r="B22" s="1"/>
      <c r="C22" s="1"/>
      <c r="D22" s="62" t="s">
        <v>52</v>
      </c>
      <c r="E22" s="1">
        <f>AB14*AB15</f>
        <v>0.99991123798974779</v>
      </c>
      <c r="F22" s="59">
        <f>MAX(AC15-F15,0)</f>
        <v>2.6666666666666572</v>
      </c>
      <c r="G22" s="62" t="s">
        <v>56</v>
      </c>
      <c r="H22" s="1">
        <f>AA14*AB15*AB16+AA15*AB14*AB16*+AA16*AB14*AB15</f>
        <v>6.0031377513657897E-7</v>
      </c>
      <c r="I22" s="1">
        <f>AC16+1*L7-F16</f>
        <v>129.66666666666666</v>
      </c>
      <c r="J22" s="62" t="s">
        <v>60</v>
      </c>
      <c r="K22" s="1">
        <f>AA14*AA15*AB16*AB17 + AA14*AA16*AB15*AB17 + AA14*AA17*AB15*AB16 + AA15*AA16*AB14*AB17 + AA15*AA17*AB14*AB16 + AA16*AA17*AB14*AB15</f>
        <v>9.3138106578642096E-6</v>
      </c>
      <c r="L22" s="1">
        <f>AC17+2*L7-F17</f>
        <v>155.33333333333331</v>
      </c>
      <c r="M22" s="1">
        <f>B22*C22*AH14+E22*F22*AH15+H22*I22*AH16+K22*L22*AH17</f>
        <v>293.43338345115802</v>
      </c>
      <c r="O22" s="1" t="s">
        <v>29</v>
      </c>
      <c r="P22" s="1">
        <f>3*(F7*(J5*K5+L5)+H7)</f>
        <v>42300</v>
      </c>
      <c r="Q22" s="1">
        <f t="shared" si="2"/>
        <v>0.46202594620252208</v>
      </c>
      <c r="R22" s="1">
        <f t="shared" si="3"/>
        <v>16284.10447390789</v>
      </c>
    </row>
    <row r="23" spans="1:34" ht="24.75" x14ac:dyDescent="0.25">
      <c r="A23" s="1"/>
      <c r="B23" s="1"/>
      <c r="C23" s="1"/>
      <c r="D23" s="1"/>
      <c r="E23" s="1"/>
      <c r="F23" s="1"/>
      <c r="G23" s="62" t="s">
        <v>52</v>
      </c>
      <c r="H23" s="1">
        <f>AB14*AB15*AB16</f>
        <v>0.99752618765702739</v>
      </c>
      <c r="I23" s="63">
        <f>AC16-F16</f>
        <v>117.66666666666666</v>
      </c>
      <c r="J23" s="62" t="s">
        <v>56</v>
      </c>
      <c r="K23" s="1">
        <f>AA14*AB15*AB16*AB17+AA15*AB14*AB16*AB17+AA16*AB14*AB15*AB17+AA17*AB14*AB15*AB16</f>
        <v>6.1353879565663651E-3</v>
      </c>
      <c r="L23" s="1">
        <f>AC17+1*L7-F17</f>
        <v>143.33333333333331</v>
      </c>
      <c r="M23" s="1">
        <f>B23*C23*AH14+E23*F23*AH15+H23*I23*AH16+K23*L23*AH17</f>
        <v>4769.7727331765764</v>
      </c>
      <c r="O23" s="1" t="s">
        <v>30</v>
      </c>
      <c r="P23" s="1">
        <f>1*H8</f>
        <v>4320</v>
      </c>
      <c r="Q23" s="1">
        <f t="shared" si="2"/>
        <v>0.46159085861936378</v>
      </c>
      <c r="R23" s="1">
        <f t="shared" si="3"/>
        <v>16268.769812039476</v>
      </c>
    </row>
    <row r="24" spans="1:34" ht="30" x14ac:dyDescent="0.25">
      <c r="I24" s="84"/>
      <c r="J24" s="62" t="s">
        <v>52</v>
      </c>
      <c r="K24" s="85">
        <f>AB14*AB15*AB16*AB17</f>
        <v>0.99385529745343604</v>
      </c>
      <c r="L24" s="1">
        <f>AC17+0*L7-F17</f>
        <v>131.33333333333331</v>
      </c>
      <c r="M24" s="1">
        <f>B24*C24*AH14+E24*F24*AH15+H24*I24*AH16+K24*L24*AH17</f>
        <v>11094.737970571856</v>
      </c>
      <c r="O24" s="64" t="s">
        <v>65</v>
      </c>
      <c r="P24" s="65">
        <f>SUM(P20:P23)</f>
        <v>55700</v>
      </c>
      <c r="Q24" s="96" t="s">
        <v>108</v>
      </c>
      <c r="R24" s="97">
        <f>SUM(R20:R23)</f>
        <v>50293.960090551227</v>
      </c>
    </row>
    <row r="25" spans="1:34" x14ac:dyDescent="0.25">
      <c r="L25" s="176" t="s">
        <v>63</v>
      </c>
      <c r="M25" s="177">
        <f>SUM(M20:M24)</f>
        <v>16158.088500935024</v>
      </c>
    </row>
    <row r="26" spans="1:34" x14ac:dyDescent="0.25">
      <c r="L26" s="176"/>
      <c r="M26" s="177"/>
    </row>
    <row r="27" spans="1:34" x14ac:dyDescent="0.25">
      <c r="A27" s="178" t="s">
        <v>90</v>
      </c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</row>
    <row r="28" spans="1:34" ht="15.75" x14ac:dyDescent="0.25">
      <c r="A28" s="87" t="s">
        <v>76</v>
      </c>
      <c r="B28" s="62" t="s">
        <v>49</v>
      </c>
      <c r="C28" s="90" t="s">
        <v>102</v>
      </c>
      <c r="D28" s="62" t="s">
        <v>88</v>
      </c>
      <c r="E28" s="87" t="s">
        <v>77</v>
      </c>
      <c r="F28" s="62" t="s">
        <v>57</v>
      </c>
      <c r="G28" s="90" t="s">
        <v>78</v>
      </c>
      <c r="H28" s="62" t="s">
        <v>88</v>
      </c>
      <c r="I28" s="87" t="s">
        <v>75</v>
      </c>
      <c r="J28" s="62" t="s">
        <v>61</v>
      </c>
      <c r="K28" s="90" t="s">
        <v>87</v>
      </c>
      <c r="L28" s="62" t="s">
        <v>88</v>
      </c>
      <c r="M28" s="87" t="s">
        <v>86</v>
      </c>
      <c r="N28" s="62" t="s">
        <v>84</v>
      </c>
      <c r="O28" s="90" t="s">
        <v>103</v>
      </c>
      <c r="P28" s="62" t="s">
        <v>88</v>
      </c>
    </row>
    <row r="29" spans="1:34" ht="24.75" x14ac:dyDescent="0.25">
      <c r="A29" s="62" t="s">
        <v>51</v>
      </c>
      <c r="B29" s="86">
        <v>3.9101438569080559E-7</v>
      </c>
      <c r="C29" s="86">
        <f>AC14+1*L7</f>
        <v>57.666666666666664</v>
      </c>
      <c r="D29" s="86">
        <f>MAX(B29*1.5*((C29-F14)*500/2),0)</f>
        <v>0</v>
      </c>
      <c r="E29" s="62" t="s">
        <v>55</v>
      </c>
      <c r="F29" s="86">
        <v>3.4554344172902772E-11</v>
      </c>
      <c r="G29" s="86">
        <f>AC15+2*L7</f>
        <v>132.66666666666666</v>
      </c>
      <c r="H29" s="86">
        <f>F29*1.5*((G29-F15)*500/2+(G29-F16)*500)</f>
        <v>1.814103069077395E-6</v>
      </c>
      <c r="I29" s="62" t="s">
        <v>59</v>
      </c>
      <c r="J29" s="86">
        <v>8.2421165934889752E-14</v>
      </c>
      <c r="K29" s="86">
        <f>AC16+3*L7</f>
        <v>229.66666666666666</v>
      </c>
      <c r="L29" s="86">
        <f>J29*1.5*((K29-G29)*500/2+(K29-F17)*500)</f>
        <v>8.5408933200029503E-9</v>
      </c>
      <c r="M29" s="62" t="s">
        <v>83</v>
      </c>
      <c r="N29" s="86">
        <v>3.0330938108963992E-16</v>
      </c>
      <c r="O29" s="86">
        <f>AC17+4*L7</f>
        <v>319.33333333333331</v>
      </c>
      <c r="P29" s="86">
        <f>N29*1.5*((O29-K29)*500/2)</f>
        <v>1.0198777939139141E-11</v>
      </c>
    </row>
    <row r="30" spans="1:34" ht="24.75" x14ac:dyDescent="0.25">
      <c r="A30" s="62" t="s">
        <v>52</v>
      </c>
      <c r="B30" s="86">
        <v>0.99999960898561435</v>
      </c>
      <c r="C30" s="88">
        <f>AC14</f>
        <v>45.666666666666664</v>
      </c>
      <c r="D30" s="86">
        <f>MAX(B30*1.5*((C30-F14)*500/2),0)</f>
        <v>0</v>
      </c>
      <c r="E30" s="62" t="s">
        <v>56</v>
      </c>
      <c r="F30" s="86">
        <v>8.8761975697930761E-5</v>
      </c>
      <c r="G30" s="86">
        <f>AC15+1*L7</f>
        <v>120.66666666666666</v>
      </c>
      <c r="H30" s="86">
        <f>F30*1.5*((G30-F15)*500/2+(G30-F16)*500)</f>
        <v>3.4617170522192984</v>
      </c>
      <c r="I30" s="62" t="s">
        <v>60</v>
      </c>
      <c r="J30" s="86">
        <v>2.1175504433788852E-7</v>
      </c>
      <c r="K30" s="86">
        <f>AC16+2*L7</f>
        <v>217.66666666666666</v>
      </c>
      <c r="L30" s="86">
        <f>J30*1.5*((K30-G30)*500/2+(K30-F17)*500)</f>
        <v>2.0037321070472697E-2</v>
      </c>
      <c r="M30" s="62" t="s">
        <v>59</v>
      </c>
      <c r="N30" s="86">
        <v>7.7578059236523944E-10</v>
      </c>
      <c r="O30" s="86">
        <f>AC17+3*L7</f>
        <v>307.33333333333331</v>
      </c>
      <c r="P30" s="86">
        <f>N30*1.5*((O30-K30)*500/2)</f>
        <v>2.6085622418281173E-5</v>
      </c>
    </row>
    <row r="31" spans="1:34" x14ac:dyDescent="0.25">
      <c r="A31" s="86"/>
      <c r="B31" s="86"/>
      <c r="C31" s="89" t="s">
        <v>89</v>
      </c>
      <c r="D31" s="89">
        <f>SUM(D29:D30)</f>
        <v>0</v>
      </c>
      <c r="E31" s="62" t="s">
        <v>52</v>
      </c>
      <c r="F31" s="86">
        <v>0.99991123798974779</v>
      </c>
      <c r="G31" s="86">
        <f>AC15+0*L7</f>
        <v>108.66666666666666</v>
      </c>
      <c r="H31" s="86">
        <f>F31*1.5*((G31-F15)*500/2+(G31-F16)*500)</f>
        <v>25497.736568738557</v>
      </c>
      <c r="I31" s="62" t="s">
        <v>56</v>
      </c>
      <c r="J31" s="86">
        <v>6.0031377513657897E-7</v>
      </c>
      <c r="K31" s="86">
        <f>AC16+1*L7</f>
        <v>205.66666666666666</v>
      </c>
      <c r="L31" s="86">
        <f>J31*1.5*((K31-G31)*500/2+(K31-F17)*500)</f>
        <v>5.1401866996069565E-2</v>
      </c>
      <c r="M31" s="62" t="s">
        <v>60</v>
      </c>
      <c r="N31" s="86">
        <v>9.3138106578642096E-6</v>
      </c>
      <c r="O31" s="86">
        <f>AC17+2*L7</f>
        <v>295.33333333333331</v>
      </c>
      <c r="P31" s="86">
        <f>N31*1.5*((O31-K31)*500/2)</f>
        <v>0.313176883370684</v>
      </c>
    </row>
    <row r="32" spans="1:34" x14ac:dyDescent="0.25">
      <c r="A32" s="86"/>
      <c r="B32" s="86"/>
      <c r="C32" s="86"/>
      <c r="D32" s="86"/>
      <c r="E32" s="86"/>
      <c r="F32" s="86"/>
      <c r="G32" s="89" t="s">
        <v>79</v>
      </c>
      <c r="H32" s="89">
        <f>SUM(H29:H31)</f>
        <v>25501.198287604879</v>
      </c>
      <c r="I32" s="62" t="s">
        <v>52</v>
      </c>
      <c r="J32" s="86">
        <v>0.99752618765702739</v>
      </c>
      <c r="K32" s="86">
        <f>AC16+0*L7</f>
        <v>193.66666666666666</v>
      </c>
      <c r="L32" s="86">
        <f>J32*1.5*((K32-G31)*500/2+(K32-F17)*500)</f>
        <v>71946.576284763098</v>
      </c>
      <c r="M32" s="62" t="s">
        <v>56</v>
      </c>
      <c r="N32" s="86">
        <v>6.1353879565663651E-3</v>
      </c>
      <c r="O32" s="86">
        <f>AC17+1*L7</f>
        <v>283.33333333333331</v>
      </c>
      <c r="P32" s="86">
        <f>N32*1.5*((O32-K32)*500/2)</f>
        <v>206.30242003954399</v>
      </c>
    </row>
    <row r="33" spans="1:22" ht="15" customHeight="1" x14ac:dyDescent="0.25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9" t="s">
        <v>79</v>
      </c>
      <c r="L33" s="89">
        <f>SUM(L29:L32)</f>
        <v>71946.647723959701</v>
      </c>
      <c r="M33" s="62" t="s">
        <v>52</v>
      </c>
      <c r="N33" s="86">
        <v>0.99385529745343604</v>
      </c>
      <c r="O33" s="86">
        <f>AC17+0*L7</f>
        <v>271.33333333333331</v>
      </c>
      <c r="P33" s="86">
        <f>N33*1.5*((O33-K32)*500/2)</f>
        <v>28946.035538331322</v>
      </c>
      <c r="Q33" s="179" t="s">
        <v>80</v>
      </c>
      <c r="R33" s="179"/>
      <c r="S33" s="180">
        <f>D31+H32+L33+P34</f>
        <v>126600.49717290443</v>
      </c>
      <c r="T33" s="180"/>
    </row>
    <row r="34" spans="1:22" ht="15" customHeight="1" x14ac:dyDescent="0.25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9" t="s">
        <v>79</v>
      </c>
      <c r="P34" s="89">
        <f>SUM(P29:P33)</f>
        <v>29152.651161339869</v>
      </c>
      <c r="Q34" s="179"/>
      <c r="R34" s="179"/>
      <c r="S34" s="180"/>
      <c r="T34" s="180"/>
    </row>
    <row r="35" spans="1:22" x14ac:dyDescent="0.25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</row>
    <row r="36" spans="1:22" x14ac:dyDescent="0.25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</row>
    <row r="37" spans="1:22" x14ac:dyDescent="0.25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</row>
    <row r="38" spans="1:22" ht="27.75" customHeight="1" thickBot="1" x14ac:dyDescent="0.3">
      <c r="O38" s="131" t="s">
        <v>81</v>
      </c>
      <c r="P38" s="131"/>
      <c r="Q38" s="131">
        <f>(R24+P24+M25+S33)/AC17</f>
        <v>916.77842419308615</v>
      </c>
      <c r="R38" s="131"/>
    </row>
    <row r="39" spans="1:22" x14ac:dyDescent="0.25">
      <c r="A39" s="181" t="s">
        <v>94</v>
      </c>
      <c r="B39" s="182"/>
    </row>
    <row r="40" spans="1:22" ht="15.75" thickBot="1" x14ac:dyDescent="0.3">
      <c r="A40" s="183"/>
      <c r="B40" s="184"/>
    </row>
    <row r="41" spans="1:22" ht="21" x14ac:dyDescent="0.35">
      <c r="A41" s="185" t="s">
        <v>14</v>
      </c>
      <c r="B41" s="18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O41" s="166" t="s">
        <v>72</v>
      </c>
      <c r="P41" s="166"/>
      <c r="Q41" s="166"/>
      <c r="R41" s="166"/>
      <c r="S41" s="166"/>
      <c r="T41" s="166"/>
      <c r="U41" s="166"/>
      <c r="V41" s="166"/>
    </row>
    <row r="42" spans="1:22" ht="36" x14ac:dyDescent="0.25">
      <c r="A42" s="4" t="s">
        <v>15</v>
      </c>
      <c r="B42" s="4" t="s">
        <v>16</v>
      </c>
      <c r="C42" s="4" t="s">
        <v>31</v>
      </c>
      <c r="D42" s="6" t="s">
        <v>17</v>
      </c>
      <c r="E42" s="6" t="s">
        <v>18</v>
      </c>
      <c r="F42" s="6" t="s">
        <v>19</v>
      </c>
      <c r="G42" s="6" t="s">
        <v>20</v>
      </c>
      <c r="H42" s="6" t="s">
        <v>21</v>
      </c>
      <c r="I42" s="6" t="s">
        <v>22</v>
      </c>
      <c r="J42" s="6" t="s">
        <v>23</v>
      </c>
      <c r="K42" s="6" t="s">
        <v>24</v>
      </c>
      <c r="L42" s="6" t="s">
        <v>25</v>
      </c>
      <c r="M42" s="6" t="s">
        <v>26</v>
      </c>
      <c r="N42" s="8"/>
      <c r="O42" s="167" t="s">
        <v>32</v>
      </c>
      <c r="P42" s="167" t="s">
        <v>35</v>
      </c>
      <c r="Q42" s="167" t="s">
        <v>66</v>
      </c>
      <c r="R42" s="91" t="s">
        <v>67</v>
      </c>
      <c r="S42" s="91" t="s">
        <v>68</v>
      </c>
      <c r="T42" s="167" t="s">
        <v>69</v>
      </c>
      <c r="U42" s="71" t="s">
        <v>33</v>
      </c>
      <c r="V42" s="91" t="s">
        <v>70</v>
      </c>
    </row>
    <row r="43" spans="1:22" x14ac:dyDescent="0.25">
      <c r="A43" s="3" t="s">
        <v>27</v>
      </c>
      <c r="B43" s="3">
        <v>0</v>
      </c>
      <c r="C43" s="3">
        <v>0.3</v>
      </c>
      <c r="D43" s="3">
        <v>243</v>
      </c>
      <c r="E43" s="3">
        <v>1.73</v>
      </c>
      <c r="F43" s="3">
        <v>5</v>
      </c>
      <c r="G43" s="169">
        <v>12</v>
      </c>
      <c r="H43" s="3">
        <v>1820</v>
      </c>
      <c r="I43" s="169">
        <v>19645</v>
      </c>
      <c r="J43" s="3">
        <v>20</v>
      </c>
      <c r="K43" s="3">
        <v>40</v>
      </c>
      <c r="L43" s="3">
        <v>500</v>
      </c>
      <c r="M43" s="3">
        <v>1000</v>
      </c>
      <c r="O43" s="168"/>
      <c r="P43" s="168"/>
      <c r="Q43" s="168"/>
      <c r="R43" s="72" t="s">
        <v>71</v>
      </c>
      <c r="S43" s="72" t="s">
        <v>71</v>
      </c>
      <c r="T43" s="168"/>
      <c r="U43" s="73">
        <v>500</v>
      </c>
      <c r="V43" s="3">
        <v>1.5</v>
      </c>
    </row>
    <row r="44" spans="1:22" x14ac:dyDescent="0.25">
      <c r="A44" s="3" t="s">
        <v>28</v>
      </c>
      <c r="B44" s="3">
        <v>0</v>
      </c>
      <c r="C44" s="3">
        <v>0.3</v>
      </c>
      <c r="D44" s="3">
        <v>254</v>
      </c>
      <c r="E44" s="3">
        <v>1.88</v>
      </c>
      <c r="F44" s="3">
        <v>3</v>
      </c>
      <c r="G44" s="170"/>
      <c r="H44" s="3">
        <v>2720</v>
      </c>
      <c r="I44" s="170"/>
      <c r="J44" s="5"/>
      <c r="K44" s="5"/>
      <c r="L44" s="5"/>
      <c r="M44" s="5"/>
      <c r="O44" s="74">
        <v>1</v>
      </c>
      <c r="P44" s="74">
        <v>106</v>
      </c>
      <c r="Q44" s="74">
        <v>110</v>
      </c>
      <c r="R44" s="74">
        <v>6</v>
      </c>
      <c r="S44" s="74">
        <v>5</v>
      </c>
      <c r="T44" s="74">
        <f>R44*$U$5/60+S44</f>
        <v>55</v>
      </c>
      <c r="U44" s="75"/>
    </row>
    <row r="45" spans="1:22" x14ac:dyDescent="0.25">
      <c r="A45" s="3" t="s">
        <v>29</v>
      </c>
      <c r="B45" s="3">
        <v>0</v>
      </c>
      <c r="C45" s="3">
        <v>0.3</v>
      </c>
      <c r="D45" s="3">
        <v>143</v>
      </c>
      <c r="E45" s="3">
        <v>2.4300000000000002</v>
      </c>
      <c r="F45" s="3">
        <v>8</v>
      </c>
      <c r="G45" s="170"/>
      <c r="H45" s="3">
        <v>3700</v>
      </c>
      <c r="I45" s="170"/>
      <c r="J45" s="5"/>
      <c r="K45" s="140" t="s">
        <v>73</v>
      </c>
      <c r="L45" s="141">
        <v>12</v>
      </c>
      <c r="M45" s="140" t="s">
        <v>74</v>
      </c>
      <c r="N45" s="141">
        <v>19645</v>
      </c>
      <c r="O45" s="74">
        <v>2</v>
      </c>
      <c r="P45" s="74">
        <v>76</v>
      </c>
      <c r="Q45" s="74">
        <v>40</v>
      </c>
      <c r="R45" s="74">
        <v>9</v>
      </c>
      <c r="S45" s="74">
        <v>2</v>
      </c>
      <c r="T45" s="74">
        <f t="shared" ref="T45:T47" si="4">R45*$U$5/60+S45</f>
        <v>77</v>
      </c>
      <c r="U45" s="75"/>
    </row>
    <row r="46" spans="1:22" x14ac:dyDescent="0.25">
      <c r="A46" s="3" t="s">
        <v>30</v>
      </c>
      <c r="B46" s="3">
        <v>0</v>
      </c>
      <c r="C46" s="3">
        <v>0.3</v>
      </c>
      <c r="D46" s="3">
        <v>449</v>
      </c>
      <c r="E46" s="3">
        <v>2.5299999999999998</v>
      </c>
      <c r="F46" s="3">
        <v>4</v>
      </c>
      <c r="G46" s="171"/>
      <c r="H46" s="3">
        <v>4320</v>
      </c>
      <c r="I46" s="171"/>
      <c r="J46" s="5"/>
      <c r="K46" s="140"/>
      <c r="L46" s="141"/>
      <c r="M46" s="140"/>
      <c r="N46" s="141"/>
      <c r="O46" s="74">
        <v>3</v>
      </c>
      <c r="P46" s="74">
        <v>95</v>
      </c>
      <c r="Q46" s="74">
        <v>67</v>
      </c>
      <c r="R46" s="74">
        <v>5</v>
      </c>
      <c r="S46" s="74">
        <v>4</v>
      </c>
      <c r="T46" s="74">
        <f t="shared" si="4"/>
        <v>45.666666666666664</v>
      </c>
      <c r="U46" s="75"/>
    </row>
    <row r="47" spans="1:22" ht="15.75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O47" s="74">
        <v>4</v>
      </c>
      <c r="P47" s="74">
        <v>140</v>
      </c>
      <c r="Q47" s="94">
        <v>85</v>
      </c>
      <c r="R47" s="94">
        <v>8</v>
      </c>
      <c r="S47" s="94">
        <v>3</v>
      </c>
      <c r="T47" s="74">
        <f t="shared" si="4"/>
        <v>69.666666666666671</v>
      </c>
    </row>
    <row r="48" spans="1:22" x14ac:dyDescent="0.25">
      <c r="A48" s="142" t="s">
        <v>36</v>
      </c>
      <c r="B48" s="144" t="s">
        <v>106</v>
      </c>
      <c r="C48" s="144"/>
      <c r="D48" s="144"/>
      <c r="E48" s="144"/>
      <c r="F48" s="20" t="s">
        <v>27</v>
      </c>
      <c r="G48" s="20" t="s">
        <v>28</v>
      </c>
      <c r="H48" s="20" t="s">
        <v>29</v>
      </c>
      <c r="I48" s="20" t="s">
        <v>30</v>
      </c>
    </row>
    <row r="49" spans="1:34" ht="15.75" thickBot="1" x14ac:dyDescent="0.3">
      <c r="A49" s="143"/>
      <c r="B49" s="145"/>
      <c r="C49" s="145"/>
      <c r="D49" s="145"/>
      <c r="E49" s="145"/>
      <c r="F49" s="20">
        <v>126</v>
      </c>
      <c r="G49" s="26">
        <v>91</v>
      </c>
      <c r="H49" s="26">
        <v>67</v>
      </c>
      <c r="I49" s="26">
        <v>201</v>
      </c>
    </row>
    <row r="50" spans="1:34" ht="15.75" thickBot="1" x14ac:dyDescent="0.3">
      <c r="A50" s="143"/>
      <c r="B50" s="145"/>
      <c r="C50" s="145"/>
      <c r="D50" s="145"/>
      <c r="E50" s="145"/>
      <c r="F50" s="7"/>
      <c r="G50" s="146" t="s">
        <v>27</v>
      </c>
      <c r="H50" s="147"/>
      <c r="I50" s="147"/>
      <c r="J50" s="147"/>
      <c r="K50" s="148"/>
      <c r="L50" s="149" t="s">
        <v>28</v>
      </c>
      <c r="M50" s="150"/>
      <c r="N50" s="150"/>
      <c r="O50" s="150"/>
      <c r="P50" s="151"/>
      <c r="Q50" s="152" t="s">
        <v>29</v>
      </c>
      <c r="R50" s="153"/>
      <c r="S50" s="153"/>
      <c r="T50" s="153"/>
      <c r="U50" s="154"/>
      <c r="V50" s="155" t="s">
        <v>30</v>
      </c>
      <c r="W50" s="156"/>
      <c r="X50" s="156"/>
      <c r="Y50" s="156"/>
      <c r="Z50" s="157"/>
      <c r="AA50" s="158" t="s">
        <v>42</v>
      </c>
      <c r="AB50" s="159"/>
      <c r="AC50" s="160" t="s">
        <v>44</v>
      </c>
      <c r="AD50" s="162" t="s">
        <v>47</v>
      </c>
      <c r="AE50" s="163"/>
      <c r="AF50" s="163"/>
      <c r="AG50" s="164"/>
      <c r="AH50" s="138" t="s">
        <v>62</v>
      </c>
    </row>
    <row r="51" spans="1:34" ht="36.75" x14ac:dyDescent="0.25">
      <c r="A51" s="21" t="s">
        <v>32</v>
      </c>
      <c r="B51" s="22" t="s">
        <v>37</v>
      </c>
      <c r="C51" s="23" t="s">
        <v>33</v>
      </c>
      <c r="D51" s="22" t="s">
        <v>38</v>
      </c>
      <c r="E51" s="22" t="s">
        <v>34</v>
      </c>
      <c r="F51" s="25" t="s">
        <v>35</v>
      </c>
      <c r="G51" s="27" t="s">
        <v>39</v>
      </c>
      <c r="H51" s="10" t="s">
        <v>40</v>
      </c>
      <c r="I51" s="10" t="s">
        <v>45</v>
      </c>
      <c r="J51" s="10" t="s">
        <v>46</v>
      </c>
      <c r="K51" s="28" t="s">
        <v>41</v>
      </c>
      <c r="L51" s="30" t="s">
        <v>39</v>
      </c>
      <c r="M51" s="13" t="s">
        <v>40</v>
      </c>
      <c r="N51" s="13" t="s">
        <v>45</v>
      </c>
      <c r="O51" s="13" t="s">
        <v>46</v>
      </c>
      <c r="P51" s="31" t="s">
        <v>41</v>
      </c>
      <c r="Q51" s="33" t="s">
        <v>39</v>
      </c>
      <c r="R51" s="12" t="s">
        <v>40</v>
      </c>
      <c r="S51" s="12" t="s">
        <v>45</v>
      </c>
      <c r="T51" s="12" t="s">
        <v>46</v>
      </c>
      <c r="U51" s="34" t="s">
        <v>41</v>
      </c>
      <c r="V51" s="36" t="s">
        <v>39</v>
      </c>
      <c r="W51" s="11" t="s">
        <v>40</v>
      </c>
      <c r="X51" s="11" t="s">
        <v>45</v>
      </c>
      <c r="Y51" s="11" t="s">
        <v>46</v>
      </c>
      <c r="Z51" s="37" t="s">
        <v>41</v>
      </c>
      <c r="AA51" s="39" t="s">
        <v>41</v>
      </c>
      <c r="AB51" s="40" t="s">
        <v>43</v>
      </c>
      <c r="AC51" s="161"/>
      <c r="AD51" s="43" t="s">
        <v>27</v>
      </c>
      <c r="AE51" s="1" t="s">
        <v>28</v>
      </c>
      <c r="AF51" s="1" t="s">
        <v>29</v>
      </c>
      <c r="AG51" s="1" t="s">
        <v>30</v>
      </c>
      <c r="AH51" s="139"/>
    </row>
    <row r="52" spans="1:34" x14ac:dyDescent="0.25">
      <c r="A52" s="24">
        <v>3</v>
      </c>
      <c r="B52" s="9">
        <v>5</v>
      </c>
      <c r="C52" s="9">
        <v>500</v>
      </c>
      <c r="D52" s="9">
        <v>4</v>
      </c>
      <c r="E52" s="48">
        <f>B52*C52/60+D52</f>
        <v>45.666666666666664</v>
      </c>
      <c r="F52" s="14">
        <v>95</v>
      </c>
      <c r="G52" s="49">
        <f>B$5*(1-AD52*C$5)</f>
        <v>0</v>
      </c>
      <c r="H52" s="50">
        <f>G52+E52</f>
        <v>45.666666666666664</v>
      </c>
      <c r="I52" s="15">
        <f>(H52/D$5)^E$5</f>
        <v>5.5463587496332782E-2</v>
      </c>
      <c r="J52" s="15">
        <f>(G52/D$5)^E$5</f>
        <v>0</v>
      </c>
      <c r="K52" s="29">
        <f>1-EXP(J52-I52)</f>
        <v>5.3953529036131931E-2</v>
      </c>
      <c r="L52" s="51">
        <f>B$6*(1-AE52*C$6)</f>
        <v>0</v>
      </c>
      <c r="M52" s="52">
        <f>L52+E52</f>
        <v>45.666666666666664</v>
      </c>
      <c r="N52" s="17">
        <f>(M52/D$6)^E$6</f>
        <v>3.9715434673642101E-2</v>
      </c>
      <c r="O52" s="17">
        <f>(L52/D$6)^E$6</f>
        <v>0</v>
      </c>
      <c r="P52" s="32">
        <f>1-EXP(O52-N52)</f>
        <v>3.8937114582545562E-2</v>
      </c>
      <c r="Q52" s="53">
        <f>B$7*(1-AF52*C$7)</f>
        <v>0</v>
      </c>
      <c r="R52" s="54">
        <f>Q52+E52</f>
        <v>45.666666666666664</v>
      </c>
      <c r="S52" s="16">
        <f>(R52/D$7)^E$7</f>
        <v>6.2425173515745024E-2</v>
      </c>
      <c r="T52" s="16">
        <f>(Q52/D$7)^E$7</f>
        <v>0</v>
      </c>
      <c r="U52" s="35">
        <f>1-EXP(T52-S52)</f>
        <v>6.0516641579816954E-2</v>
      </c>
      <c r="V52" s="55">
        <f>B$8*(1-AG52*C$8)</f>
        <v>0</v>
      </c>
      <c r="W52" s="56">
        <f>V52+E52</f>
        <v>45.666666666666664</v>
      </c>
      <c r="X52" s="18">
        <f>(W52/D$8)^E$8</f>
        <v>3.0803709406480337E-3</v>
      </c>
      <c r="Y52" s="18">
        <f>(V52/D$8)^E$8</f>
        <v>0</v>
      </c>
      <c r="Z52" s="38">
        <f>1-EXP(Y52-X52)</f>
        <v>3.0756314657778283E-3</v>
      </c>
      <c r="AA52" s="41">
        <f>K52*P52*U52*Z52</f>
        <v>3.9101438569080559E-7</v>
      </c>
      <c r="AB52" s="42">
        <f>1-AA52</f>
        <v>0.99999960898561435</v>
      </c>
      <c r="AC52" s="47">
        <f>(AD52*F$5+AE52*F$6+AF52*F$7+AG52*F$8)+E52</f>
        <v>45.666666666666664</v>
      </c>
      <c r="AD52" s="43">
        <v>0</v>
      </c>
      <c r="AE52" s="1">
        <v>0</v>
      </c>
      <c r="AF52" s="1">
        <v>0</v>
      </c>
      <c r="AG52" s="1">
        <v>0</v>
      </c>
      <c r="AH52" s="44">
        <v>67</v>
      </c>
    </row>
    <row r="53" spans="1:34" x14ac:dyDescent="0.25">
      <c r="A53" s="24">
        <v>1</v>
      </c>
      <c r="B53" s="9">
        <v>6</v>
      </c>
      <c r="C53" s="9">
        <v>500</v>
      </c>
      <c r="D53" s="9">
        <v>5</v>
      </c>
      <c r="E53" s="9">
        <f t="shared" ref="E53:E55" si="5">B53*C53/60+D53</f>
        <v>55</v>
      </c>
      <c r="F53" s="14">
        <v>106</v>
      </c>
      <c r="G53" s="49">
        <f>H52*(1-AD53*C$5)</f>
        <v>45.666666666666664</v>
      </c>
      <c r="H53" s="50">
        <f>G53+E53</f>
        <v>100.66666666666666</v>
      </c>
      <c r="I53" s="15">
        <f>(H53/D$5)^E$5</f>
        <v>0.21771752434165836</v>
      </c>
      <c r="J53" s="15">
        <f>(G53/D$5)^E$5</f>
        <v>5.5463587496332782E-2</v>
      </c>
      <c r="K53" s="29">
        <f>1-EXP(J53-I53)</f>
        <v>0.14977472639881173</v>
      </c>
      <c r="L53" s="51">
        <f>M52*(1-AE53*C$6)</f>
        <v>45.666666666666664</v>
      </c>
      <c r="M53" s="52">
        <f>L53+E53</f>
        <v>100.66666666666666</v>
      </c>
      <c r="N53" s="17">
        <f>(M53/D$6)^E$6</f>
        <v>0.17552448466860393</v>
      </c>
      <c r="O53" s="17">
        <f>(L53/D$6)^E$6</f>
        <v>3.9715434673642101E-2</v>
      </c>
      <c r="P53" s="32">
        <f>1-EXP(O53-N53)</f>
        <v>0.12699068229244426</v>
      </c>
      <c r="Q53" s="53">
        <f>R52*(1-AF53*C$7)</f>
        <v>31.966666666666661</v>
      </c>
      <c r="R53" s="54">
        <f>Q53+E53</f>
        <v>86.966666666666669</v>
      </c>
      <c r="S53" s="16">
        <f>(R53/D$7)^E$7</f>
        <v>0.29864881248498298</v>
      </c>
      <c r="T53" s="16">
        <f>(Q53/D$7)^E$7</f>
        <v>2.6239043252001361E-2</v>
      </c>
      <c r="U53" s="35">
        <f>1-EXP(T53-S53)</f>
        <v>0.23845785939332009</v>
      </c>
      <c r="V53" s="55">
        <f>W52*(1-AG53*C$8)</f>
        <v>45.666666666666664</v>
      </c>
      <c r="W53" s="56">
        <f>V53+E53</f>
        <v>100.66666666666666</v>
      </c>
      <c r="X53" s="18">
        <f>(W53/D$8)^E$8</f>
        <v>2.275713304339216E-2</v>
      </c>
      <c r="Y53" s="18">
        <f>(V53/D$8)^E$8</f>
        <v>3.0803709406480337E-3</v>
      </c>
      <c r="Z53" s="38">
        <f>1-EXP(Y53-X53)</f>
        <v>1.9484438122753578E-2</v>
      </c>
      <c r="AA53" s="41">
        <f>K53*P53*U53*Z53</f>
        <v>8.8371030420928293E-5</v>
      </c>
      <c r="AB53" s="42">
        <f>1-AA53</f>
        <v>0.99991162896957908</v>
      </c>
      <c r="AC53" s="47">
        <f>AF53*F$7+E53+AC52</f>
        <v>108.66666666666666</v>
      </c>
      <c r="AD53" s="43">
        <v>0</v>
      </c>
      <c r="AE53" s="1">
        <v>0</v>
      </c>
      <c r="AF53" s="1">
        <v>1</v>
      </c>
      <c r="AG53" s="1">
        <v>0</v>
      </c>
      <c r="AH53" s="44">
        <v>110</v>
      </c>
    </row>
    <row r="54" spans="1:34" x14ac:dyDescent="0.25">
      <c r="A54" s="57">
        <v>4</v>
      </c>
      <c r="B54" s="58">
        <v>8</v>
      </c>
      <c r="C54" s="58">
        <v>500</v>
      </c>
      <c r="D54" s="58">
        <v>3</v>
      </c>
      <c r="E54" s="66">
        <f t="shared" si="5"/>
        <v>69.666666666666671</v>
      </c>
      <c r="F54" s="67">
        <v>140</v>
      </c>
      <c r="G54" s="68">
        <f>H53*(1-AD54*C$5)</f>
        <v>70.466666666666654</v>
      </c>
      <c r="H54" s="69">
        <f>G54+E54</f>
        <v>140.13333333333333</v>
      </c>
      <c r="I54" s="70">
        <f>(H54/D$5)^E$5</f>
        <v>0.38584942708200459</v>
      </c>
      <c r="J54" s="70">
        <f>(G54/D$5)^E$5</f>
        <v>0.11746622079432449</v>
      </c>
      <c r="K54" s="29">
        <f>1-EXP(J54-I54)</f>
        <v>0.2353852802132943</v>
      </c>
      <c r="L54" s="51">
        <f>M53*(1-AE54*C$6)</f>
        <v>70.466666666666654</v>
      </c>
      <c r="M54" s="52">
        <f>L54+E54</f>
        <v>140.13333333333333</v>
      </c>
      <c r="N54" s="17">
        <f>(M54/D$6)^E$6</f>
        <v>0.32689670548124367</v>
      </c>
      <c r="O54" s="17">
        <f>(L54/D$6)^E$6</f>
        <v>8.9768097666615101E-2</v>
      </c>
      <c r="P54" s="32">
        <f>1-EXP(O54-N54)</f>
        <v>0.21111017590303682</v>
      </c>
      <c r="Q54" s="53">
        <f>R53*(1-AF54*C$7)</f>
        <v>60.876666666666665</v>
      </c>
      <c r="R54" s="54">
        <f>Q54+E54</f>
        <v>130.54333333333335</v>
      </c>
      <c r="S54" s="16">
        <f>(R54/D$7)^E$7</f>
        <v>0.80134096535723287</v>
      </c>
      <c r="T54" s="16">
        <f>(Q54/D$7)^E$7</f>
        <v>0.12553043374362163</v>
      </c>
      <c r="U54" s="35">
        <f>1-EXP(T54-S54)</f>
        <v>0.49125609956472183</v>
      </c>
      <c r="V54" s="55">
        <f>W53*(1-AG54*C$8)</f>
        <v>100.66666666666666</v>
      </c>
      <c r="W54" s="56">
        <f>V54+E54</f>
        <v>170.33333333333331</v>
      </c>
      <c r="X54" s="18">
        <f>(W54/D$8)^E$8</f>
        <v>8.6100338756432845E-2</v>
      </c>
      <c r="Y54" s="18">
        <f>(V54/D$8)^E$8</f>
        <v>2.275713304339216E-2</v>
      </c>
      <c r="Z54" s="38">
        <f>1-EXP(Y54-X54)</f>
        <v>6.1378721782433199E-2</v>
      </c>
      <c r="AA54" s="41">
        <f>K54*P54*U54*Z54</f>
        <v>1.4983534222658152E-3</v>
      </c>
      <c r="AB54" s="42">
        <f>1-AA54</f>
        <v>0.99850164657773421</v>
      </c>
      <c r="AC54" s="47">
        <f>(AF54*F$7)+E54+AC53</f>
        <v>186.33333333333331</v>
      </c>
      <c r="AD54" s="77">
        <v>1</v>
      </c>
      <c r="AE54" s="78">
        <v>1</v>
      </c>
      <c r="AF54" s="78">
        <v>1</v>
      </c>
      <c r="AG54" s="78">
        <v>0</v>
      </c>
      <c r="AH54" s="79">
        <v>85</v>
      </c>
    </row>
    <row r="55" spans="1:34" ht="15.75" thickBot="1" x14ac:dyDescent="0.3">
      <c r="A55" s="76">
        <v>2</v>
      </c>
      <c r="B55" s="58">
        <v>9</v>
      </c>
      <c r="C55" s="58">
        <v>500</v>
      </c>
      <c r="D55" s="58">
        <v>2</v>
      </c>
      <c r="E55" s="66">
        <f t="shared" si="5"/>
        <v>77</v>
      </c>
      <c r="F55" s="67">
        <v>76</v>
      </c>
      <c r="G55" s="68">
        <f>H54*(1-AD55*C$5)</f>
        <v>98.09333333333332</v>
      </c>
      <c r="H55" s="69">
        <f>G55+E55</f>
        <v>175.09333333333331</v>
      </c>
      <c r="I55" s="70">
        <f>(H55/D$5)^E$5</f>
        <v>0.56722788558876358</v>
      </c>
      <c r="J55" s="70">
        <f>(G55/D$5)^E$5</f>
        <v>0.20817926408097581</v>
      </c>
      <c r="K55" s="29">
        <f>1-EXP(J55-I55)</f>
        <v>0.30165960383690649</v>
      </c>
      <c r="L55" s="51">
        <f>M54*(1-AE55*C$6)</f>
        <v>98.09333333333332</v>
      </c>
      <c r="M55" s="52">
        <f>L55+E55</f>
        <v>175.09333333333331</v>
      </c>
      <c r="N55" s="17">
        <f>(M55/D$6)^E$6</f>
        <v>0.49688911241375849</v>
      </c>
      <c r="O55" s="17">
        <f>(L55/D$6)^E$6</f>
        <v>0.16718405662856181</v>
      </c>
      <c r="P55" s="32">
        <f>1-EXP(O55-N55)</f>
        <v>0.28086419289859976</v>
      </c>
      <c r="Q55" s="53">
        <f>R54*(1-AF55*C$7)</f>
        <v>91.38033333333334</v>
      </c>
      <c r="R55" s="54">
        <f>Q55+E55</f>
        <v>168.38033333333334</v>
      </c>
      <c r="S55" s="16">
        <f>(R55/D$7)^E$7</f>
        <v>1.4873783159548188</v>
      </c>
      <c r="T55" s="16">
        <f>(Q55/D$7)^E$7</f>
        <v>0.33682598005603664</v>
      </c>
      <c r="U55" s="35">
        <f>1-EXP(T55-S55)</f>
        <v>0.68353807218546792</v>
      </c>
      <c r="V55" s="55">
        <f>W54*(1-AG55*C$8)</f>
        <v>119.23333333333331</v>
      </c>
      <c r="W55" s="56">
        <f>V55+E55</f>
        <v>196.23333333333329</v>
      </c>
      <c r="X55" s="18">
        <f>(W55/D$8)^E$8</f>
        <v>0.12317764407834954</v>
      </c>
      <c r="Y55" s="18">
        <f>(V55/D$8)^E$8</f>
        <v>3.4922305031534831E-2</v>
      </c>
      <c r="Z55" s="38">
        <f>1-EXP(Y55-X55)</f>
        <v>8.4472922935685757E-2</v>
      </c>
      <c r="AA55" s="41">
        <f>K55*P55*U55*Z55</f>
        <v>4.8920823883620264E-3</v>
      </c>
      <c r="AB55" s="42">
        <f>1-AA55</f>
        <v>0.99510791761163797</v>
      </c>
      <c r="AC55" s="47">
        <f>(AF55*F$7)+E55+AC54</f>
        <v>271.33333333333331</v>
      </c>
      <c r="AD55" s="80">
        <v>1</v>
      </c>
      <c r="AE55" s="45">
        <v>1</v>
      </c>
      <c r="AF55" s="81">
        <v>1</v>
      </c>
      <c r="AG55" s="45">
        <v>1</v>
      </c>
      <c r="AH55" s="82">
        <v>40</v>
      </c>
    </row>
    <row r="56" spans="1:34" ht="18.75" x14ac:dyDescent="0.3">
      <c r="A56" s="132" t="s">
        <v>53</v>
      </c>
      <c r="B56" s="132"/>
      <c r="C56" s="132"/>
      <c r="D56" s="132"/>
      <c r="E56" s="132"/>
      <c r="F56" s="132"/>
      <c r="G56" s="132"/>
      <c r="H56" s="132"/>
      <c r="I56" s="132"/>
      <c r="J56" s="132"/>
      <c r="AG56" s="46"/>
    </row>
    <row r="57" spans="1:34" ht="15.75" x14ac:dyDescent="0.25">
      <c r="A57" s="19" t="s">
        <v>54</v>
      </c>
      <c r="B57" s="60" t="s">
        <v>49</v>
      </c>
      <c r="C57" s="61" t="s">
        <v>50</v>
      </c>
      <c r="D57" s="19" t="s">
        <v>58</v>
      </c>
      <c r="E57" s="60" t="s">
        <v>57</v>
      </c>
      <c r="F57" s="61" t="s">
        <v>50</v>
      </c>
      <c r="G57" s="19" t="s">
        <v>82</v>
      </c>
      <c r="H57" s="60" t="s">
        <v>61</v>
      </c>
      <c r="I57" s="61" t="s">
        <v>50</v>
      </c>
      <c r="J57" s="19" t="s">
        <v>48</v>
      </c>
      <c r="K57" s="83" t="s">
        <v>84</v>
      </c>
      <c r="L57" s="61" t="s">
        <v>50</v>
      </c>
      <c r="M57" s="61" t="s">
        <v>85</v>
      </c>
      <c r="O57" s="174" t="s">
        <v>64</v>
      </c>
      <c r="P57" s="174"/>
      <c r="Q57" s="175" t="s">
        <v>109</v>
      </c>
      <c r="R57" s="175"/>
    </row>
    <row r="58" spans="1:34" ht="24.75" x14ac:dyDescent="0.25">
      <c r="A58" s="61" t="s">
        <v>51</v>
      </c>
      <c r="B58" s="1">
        <f>AA52</f>
        <v>3.9101438569080559E-7</v>
      </c>
      <c r="C58" s="59">
        <f>MAX(AC52+1*L45-F52,0)</f>
        <v>0</v>
      </c>
      <c r="D58" s="62" t="s">
        <v>55</v>
      </c>
      <c r="E58" s="1">
        <f>AA52*AA53</f>
        <v>3.4554344172902772E-11</v>
      </c>
      <c r="F58" s="1">
        <f>MAX(AC53+2*L45-F53,0)</f>
        <v>26.666666666666657</v>
      </c>
      <c r="G58" s="62" t="s">
        <v>59</v>
      </c>
      <c r="H58" s="1">
        <f>AA52*AA53*AA54</f>
        <v>5.1774619845619698E-14</v>
      </c>
      <c r="I58" s="1">
        <f>AC54+3*L45-F54</f>
        <v>82.333333333333314</v>
      </c>
      <c r="J58" s="62" t="s">
        <v>83</v>
      </c>
      <c r="K58" s="1">
        <f>AA52*AA53*AA54*AA55</f>
        <v>2.5328570591089518E-16</v>
      </c>
      <c r="L58" s="1">
        <f>AC55+4*L45-F55</f>
        <v>243.33333333333331</v>
      </c>
      <c r="M58" s="1">
        <f>B58*C58*AH52+E58*F58*AH53+H58*I58*AH54+K58*L58*AH55</f>
        <v>1.0172421093593856E-7</v>
      </c>
      <c r="O58" s="1" t="s">
        <v>27</v>
      </c>
      <c r="P58" s="1">
        <f>2*H43</f>
        <v>3640</v>
      </c>
      <c r="Q58" s="1">
        <f>(K52*(1-P52)*(1-U52)*(1-Z52))+(P52*(1-K52)*(1-U52)*(1-Z52))+(U52*(1-K52)*(1-P52)*(1-Z52))+(Z52*(1-K52)*(1-P52)*(1-U52))</f>
        <v>0.1405459062810282</v>
      </c>
      <c r="R58" s="1">
        <f>Q58*(L$7*(J$5*K$5+L$5)+I$5)</f>
        <v>4953.5404668748388</v>
      </c>
    </row>
    <row r="59" spans="1:34" ht="24.75" x14ac:dyDescent="0.25">
      <c r="A59" s="62" t="s">
        <v>52</v>
      </c>
      <c r="B59" s="1">
        <f>AB52</f>
        <v>0.99999960898561435</v>
      </c>
      <c r="C59" s="59">
        <f>MAX(AC52-F52,0)</f>
        <v>0</v>
      </c>
      <c r="D59" s="62" t="s">
        <v>56</v>
      </c>
      <c r="E59" s="1">
        <f>AA52*AB53+AA53*AB52</f>
        <v>8.8761975697930761E-5</v>
      </c>
      <c r="F59" s="1">
        <f>MAX(AC53+1*L45-F53,0)</f>
        <v>14.666666666666657</v>
      </c>
      <c r="G59" s="62" t="s">
        <v>60</v>
      </c>
      <c r="H59" s="1">
        <f>AA52*AA53*AB54+AA53*AA54*AB52+AA52*AA54*AB53</f>
        <v>1.3303131262362273E-7</v>
      </c>
      <c r="I59" s="1">
        <f>AC54+2*L45-F54</f>
        <v>70.333333333333314</v>
      </c>
      <c r="J59" s="62" t="s">
        <v>59</v>
      </c>
      <c r="K59">
        <f>AB52*AA53*AA54*AA55+AB53*AA52*AA54*AA55*+AB54*AA52*AA53*AA55+AB55*AA52*AA53*AA54</f>
        <v>6.4781696460564668E-10</v>
      </c>
      <c r="L59" s="1">
        <f>AC55+3*L45-F55</f>
        <v>231.33333333333331</v>
      </c>
      <c r="M59" s="1">
        <f>B59*C59*AH52+E59*F59*AH53+H59*I59*AH54+K59*L59*AH55</f>
        <v>0.14400395412294226</v>
      </c>
      <c r="O59" s="1" t="s">
        <v>28</v>
      </c>
      <c r="P59" s="1">
        <f>2*H44</f>
        <v>5440</v>
      </c>
      <c r="Q59" s="1">
        <f t="shared" ref="Q59:Q61" si="6">(K53*(1-P53)*(1-U53)*(1-Z53))+(P53*(1-K53)*(1-U53)*(1-Z53))+(U53*(1-K53)*(1-P53)*(1-Z53))+(Z53*(1-K53)*(1-P53)*(1-U53))</f>
        <v>0.36281870726993959</v>
      </c>
      <c r="R59" s="1">
        <f t="shared" ref="R59:R61" si="7">Q59*(L$7*(J$5*K$5+L$5)+I$5)</f>
        <v>12787.545337729021</v>
      </c>
    </row>
    <row r="60" spans="1:34" ht="24.75" x14ac:dyDescent="0.25">
      <c r="A60" s="1"/>
      <c r="B60" s="1"/>
      <c r="C60" s="1"/>
      <c r="D60" s="62" t="s">
        <v>52</v>
      </c>
      <c r="E60" s="1">
        <f>AB52*AB53</f>
        <v>0.99991123798974779</v>
      </c>
      <c r="F60" s="59">
        <f>MAX(AC53-F53,0)</f>
        <v>2.6666666666666572</v>
      </c>
      <c r="G60" s="62" t="s">
        <v>56</v>
      </c>
      <c r="H60" s="1">
        <f>AA52*AB53*AB54+AA53*AB52*AB54*+AA54*AB52*AB53</f>
        <v>5.2259485555800006E-7</v>
      </c>
      <c r="I60" s="1">
        <f>AC54+1*L45-F54</f>
        <v>58.333333333333314</v>
      </c>
      <c r="J60" s="62" t="s">
        <v>60</v>
      </c>
      <c r="K60" s="1">
        <f>AA52*AA53*AB54*AB55 + AA52*AA54*AB53*AB55 + AA52*AA55*AB53*AB54 + AA53*AA54*AB52*AB55 + AA53*AA55*AB52*AB54 + AA54*AA55*AB52*AB53</f>
        <v>7.895378536201033E-6</v>
      </c>
      <c r="L60" s="1">
        <f>AC55+2*L45-F55</f>
        <v>219.33333333333331</v>
      </c>
      <c r="M60" s="1">
        <f>B60*C60*AH52+E60*F60*AH53+H60*I60*AH54+K60*L60*AH55</f>
        <v>293.37915646417474</v>
      </c>
      <c r="O60" s="1" t="s">
        <v>29</v>
      </c>
      <c r="P60" s="1">
        <f>3*(F45*(J43*K43+L43)+H45)</f>
        <v>42300</v>
      </c>
      <c r="Q60" s="1">
        <f t="shared" si="6"/>
        <v>0.46272325065853492</v>
      </c>
      <c r="R60" s="1">
        <f t="shared" si="7"/>
        <v>16308.680969460063</v>
      </c>
    </row>
    <row r="61" spans="1:34" ht="24.75" x14ac:dyDescent="0.25">
      <c r="A61" s="1"/>
      <c r="B61" s="1"/>
      <c r="C61" s="1"/>
      <c r="D61" s="1"/>
      <c r="E61" s="1"/>
      <c r="F61" s="1"/>
      <c r="G61" s="62" t="s">
        <v>52</v>
      </c>
      <c r="H61" s="1">
        <f>AB52*AB53*AB54</f>
        <v>0.99841301756434386</v>
      </c>
      <c r="I61" s="63">
        <f>AC54-F54</f>
        <v>46.333333333333314</v>
      </c>
      <c r="J61" s="62" t="s">
        <v>56</v>
      </c>
      <c r="K61" s="1">
        <f>AA52*AB53*AB54*AB55+AA53*AB52*AB54*AB55+AA54*AB52*AB53*AB55+AA55*AB52*AB53*AB54</f>
        <v>6.4634051458060575E-3</v>
      </c>
      <c r="L61" s="1">
        <f>AC55+1*L45-F55</f>
        <v>207.33333333333331</v>
      </c>
      <c r="M61" s="1">
        <f>B61*C61*AH52+E61*F61*AH53+H61*I61*AH54+K61*L61*AH55</f>
        <v>3985.6864408501242</v>
      </c>
      <c r="O61" s="1" t="s">
        <v>30</v>
      </c>
      <c r="P61" s="1">
        <f>1*H46</f>
        <v>4320</v>
      </c>
      <c r="Q61" s="1">
        <f t="shared" si="6"/>
        <v>0.44738106748091661</v>
      </c>
      <c r="R61" s="1">
        <f t="shared" si="7"/>
        <v>15767.945723364906</v>
      </c>
    </row>
    <row r="62" spans="1:34" ht="30" x14ac:dyDescent="0.25">
      <c r="I62" s="84"/>
      <c r="J62" s="62" t="s">
        <v>52</v>
      </c>
      <c r="K62" s="85">
        <f>AB52*AB53*AB54*AB55</f>
        <v>0.99352869882480599</v>
      </c>
      <c r="L62" s="1">
        <f>AC55+0*L45-F55</f>
        <v>195.33333333333331</v>
      </c>
      <c r="M62" s="1">
        <f>B62*C62*AH52+E62*F62*AH53+H62*I62*AH54+K62*L62*AH55</f>
        <v>7762.7709001511503</v>
      </c>
      <c r="O62" s="64" t="s">
        <v>65</v>
      </c>
      <c r="P62" s="65">
        <f>SUM(P58:P61)</f>
        <v>55700</v>
      </c>
      <c r="Q62" s="96" t="s">
        <v>108</v>
      </c>
      <c r="R62" s="97">
        <f>SUM(R58:R61)</f>
        <v>49817.712497428831</v>
      </c>
    </row>
    <row r="63" spans="1:34" x14ac:dyDescent="0.25">
      <c r="L63" s="176" t="s">
        <v>63</v>
      </c>
      <c r="M63" s="177">
        <f>SUM(M58:M62)</f>
        <v>12041.980501521295</v>
      </c>
    </row>
    <row r="64" spans="1:34" x14ac:dyDescent="0.25">
      <c r="L64" s="176"/>
      <c r="M64" s="177"/>
    </row>
    <row r="65" spans="1:22" x14ac:dyDescent="0.25">
      <c r="A65" s="178" t="s">
        <v>90</v>
      </c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</row>
    <row r="66" spans="1:22" ht="15.75" x14ac:dyDescent="0.25">
      <c r="A66" s="87" t="s">
        <v>76</v>
      </c>
      <c r="B66" s="62" t="s">
        <v>49</v>
      </c>
      <c r="C66" s="90" t="s">
        <v>102</v>
      </c>
      <c r="D66" s="62" t="s">
        <v>88</v>
      </c>
      <c r="E66" s="87" t="s">
        <v>77</v>
      </c>
      <c r="F66" s="62" t="s">
        <v>57</v>
      </c>
      <c r="G66" s="90" t="s">
        <v>78</v>
      </c>
      <c r="H66" s="62" t="s">
        <v>88</v>
      </c>
      <c r="I66" s="87" t="s">
        <v>86</v>
      </c>
      <c r="J66" s="62" t="s">
        <v>61</v>
      </c>
      <c r="K66" s="90" t="s">
        <v>103</v>
      </c>
      <c r="L66" s="62" t="s">
        <v>88</v>
      </c>
      <c r="M66" s="87" t="s">
        <v>75</v>
      </c>
      <c r="N66" s="62" t="s">
        <v>84</v>
      </c>
      <c r="O66" s="90" t="s">
        <v>87</v>
      </c>
      <c r="P66" s="62" t="s">
        <v>88</v>
      </c>
    </row>
    <row r="67" spans="1:22" ht="24.75" x14ac:dyDescent="0.25">
      <c r="A67" s="62" t="s">
        <v>51</v>
      </c>
      <c r="B67" s="86">
        <v>3.9101438569080559E-7</v>
      </c>
      <c r="C67" s="86">
        <f>AC52+1*L45</f>
        <v>57.666666666666664</v>
      </c>
      <c r="D67" s="86">
        <f>MAX(B67*1.5*((C67-F52)*500/2),0)</f>
        <v>0</v>
      </c>
      <c r="E67" s="62" t="s">
        <v>55</v>
      </c>
      <c r="F67" s="86">
        <v>3.4554344172902772E-11</v>
      </c>
      <c r="G67" s="86">
        <f>AC53+2*L45</f>
        <v>132.66666666666666</v>
      </c>
      <c r="H67" s="86">
        <f>F67*1.5*((G67-F53)*500/2+(G67-F55)*500)</f>
        <v>1.814103069077395E-6</v>
      </c>
      <c r="I67" s="62" t="s">
        <v>59</v>
      </c>
      <c r="J67" s="86">
        <v>5.1774619845619698E-14</v>
      </c>
      <c r="K67" s="86">
        <f>AC54+3*L45</f>
        <v>222.33333333333331</v>
      </c>
      <c r="L67" s="86">
        <f>J67*1.5*((K67-F54)*500/2+(K67-G67)*500)</f>
        <v>5.0803845723514326E-9</v>
      </c>
      <c r="M67" s="62" t="s">
        <v>83</v>
      </c>
      <c r="N67" s="86">
        <v>2.5328570591089518E-16</v>
      </c>
      <c r="O67" s="86">
        <f>AC55+4*L45</f>
        <v>319.33333333333331</v>
      </c>
      <c r="P67" s="86">
        <f>N67*1.5*((O67-K67)*500/2)</f>
        <v>9.2132675525088119E-12</v>
      </c>
    </row>
    <row r="68" spans="1:22" ht="24.75" x14ac:dyDescent="0.25">
      <c r="A68" s="62" t="s">
        <v>52</v>
      </c>
      <c r="B68" s="86">
        <v>0.99999960898561435</v>
      </c>
      <c r="C68" s="88">
        <f>AC52</f>
        <v>45.666666666666664</v>
      </c>
      <c r="D68" s="86">
        <f>MAX(B68*1.5*((C68-F52)*500/2),0)</f>
        <v>0</v>
      </c>
      <c r="E68" s="62" t="s">
        <v>56</v>
      </c>
      <c r="F68" s="86">
        <v>8.8761975697930761E-5</v>
      </c>
      <c r="G68" s="86">
        <f>AC53+1*L45</f>
        <v>120.66666666666666</v>
      </c>
      <c r="H68" s="86">
        <f>F68*1.5*((G68-F53)*500/2+(G68-F55)*500)</f>
        <v>3.4617170522192984</v>
      </c>
      <c r="I68" s="62" t="s">
        <v>60</v>
      </c>
      <c r="J68" s="86">
        <v>1.3303131262362273E-7</v>
      </c>
      <c r="K68" s="86">
        <f>AC54+2*L45</f>
        <v>210.33333333333331</v>
      </c>
      <c r="L68" s="86">
        <f>J68*1.5*((K68-F54)*500/2+(K68-G68)*500)</f>
        <v>1.2455056644386677E-2</v>
      </c>
      <c r="M68" s="62" t="s">
        <v>59</v>
      </c>
      <c r="N68" s="86">
        <v>6.4781696460564668E-10</v>
      </c>
      <c r="O68" s="86">
        <f>AC55+3*L45</f>
        <v>307.33333333333331</v>
      </c>
      <c r="P68" s="86">
        <f>N68*1.5*((O68-K68)*500/2)</f>
        <v>2.3564342087530398E-5</v>
      </c>
    </row>
    <row r="69" spans="1:22" x14ac:dyDescent="0.25">
      <c r="A69" s="86"/>
      <c r="B69" s="86"/>
      <c r="C69" s="89" t="s">
        <v>89</v>
      </c>
      <c r="D69" s="89">
        <f>SUM(D67:D68)</f>
        <v>0</v>
      </c>
      <c r="E69" s="62" t="s">
        <v>52</v>
      </c>
      <c r="F69" s="86">
        <v>0.99991123798974779</v>
      </c>
      <c r="G69" s="86">
        <f>AC53+0*L45</f>
        <v>108.66666666666666</v>
      </c>
      <c r="H69" s="86">
        <f>F69*1.5*((G69-F53)*500/2+(G69-F55)*500)</f>
        <v>25497.736568738557</v>
      </c>
      <c r="I69" s="62" t="s">
        <v>56</v>
      </c>
      <c r="J69" s="86">
        <v>5.2259485555800006E-7</v>
      </c>
      <c r="K69" s="86">
        <f>AC54+1*L45</f>
        <v>198.33333333333331</v>
      </c>
      <c r="L69" s="86">
        <f>J69*1.5*((K69-F54)*500/2+(K69-G69)*500)</f>
        <v>4.6576266501606747E-2</v>
      </c>
      <c r="M69" s="62" t="s">
        <v>60</v>
      </c>
      <c r="N69" s="86">
        <v>7.895378536201033E-6</v>
      </c>
      <c r="O69" s="86">
        <f>AC55+2*L45</f>
        <v>295.33333333333331</v>
      </c>
      <c r="P69" s="86">
        <f>N69*1.5*((O69-K69)*500/2)</f>
        <v>0.28719439425431259</v>
      </c>
    </row>
    <row r="70" spans="1:22" x14ac:dyDescent="0.25">
      <c r="A70" s="86"/>
      <c r="B70" s="86"/>
      <c r="C70" s="86"/>
      <c r="D70" s="86"/>
      <c r="E70" s="86"/>
      <c r="F70" s="86"/>
      <c r="G70" s="89" t="s">
        <v>79</v>
      </c>
      <c r="H70" s="89">
        <f>SUM(H67:H69)</f>
        <v>25501.198287604879</v>
      </c>
      <c r="I70" s="62" t="s">
        <v>52</v>
      </c>
      <c r="J70" s="86">
        <v>0.99841301756434386</v>
      </c>
      <c r="K70" s="86">
        <f>AC54+0*L45</f>
        <v>186.33333333333331</v>
      </c>
      <c r="L70" s="86">
        <f>J70*1.5*((K70-F54)*500/2+(K70-G69)*500)</f>
        <v>75504.984453303492</v>
      </c>
      <c r="M70" s="62" t="s">
        <v>56</v>
      </c>
      <c r="N70" s="86">
        <v>6.4634051458060575E-3</v>
      </c>
      <c r="O70" s="86">
        <f>AC55+1*L45</f>
        <v>283.33333333333331</v>
      </c>
      <c r="P70" s="86">
        <f>N70*1.5*((O70-K70)*500/2)</f>
        <v>235.10636217869535</v>
      </c>
    </row>
    <row r="71" spans="1:22" x14ac:dyDescent="0.25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9" t="s">
        <v>79</v>
      </c>
      <c r="L71" s="89">
        <f>SUM(L67:L70)</f>
        <v>75505.043484631722</v>
      </c>
      <c r="M71" s="62" t="s">
        <v>52</v>
      </c>
      <c r="N71" s="86">
        <v>0.99352869882480599</v>
      </c>
      <c r="O71" s="86">
        <f>AC55+0*L45</f>
        <v>271.33333333333331</v>
      </c>
      <c r="P71" s="86">
        <f>N71*1.5*((O71-K70)*500/2)</f>
        <v>31668.727275040692</v>
      </c>
      <c r="Q71" s="179" t="s">
        <v>80</v>
      </c>
      <c r="R71" s="179"/>
      <c r="S71" s="180">
        <f>D69+H70+L71+P72</f>
        <v>132910.36262741458</v>
      </c>
      <c r="T71" s="180"/>
    </row>
    <row r="72" spans="1:22" x14ac:dyDescent="0.25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9" t="s">
        <v>79</v>
      </c>
      <c r="P72" s="89">
        <f>SUM(P67:P71)</f>
        <v>31904.120855177993</v>
      </c>
      <c r="Q72" s="179"/>
      <c r="R72" s="179"/>
      <c r="S72" s="180"/>
      <c r="T72" s="180"/>
    </row>
    <row r="73" spans="1:22" x14ac:dyDescent="0.25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</row>
    <row r="74" spans="1:22" x14ac:dyDescent="0.25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</row>
    <row r="75" spans="1:22" x14ac:dyDescent="0.25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</row>
    <row r="76" spans="1:22" ht="24.75" thickBot="1" x14ac:dyDescent="0.3">
      <c r="O76" s="131" t="s">
        <v>81</v>
      </c>
      <c r="P76" s="131"/>
      <c r="Q76" s="131">
        <f>(R62+P62+M63+S71)/AC55</f>
        <v>923.1083131192803</v>
      </c>
      <c r="R76" s="131"/>
    </row>
    <row r="77" spans="1:22" x14ac:dyDescent="0.25">
      <c r="A77" s="181" t="s">
        <v>91</v>
      </c>
      <c r="B77" s="182"/>
    </row>
    <row r="78" spans="1:22" ht="15.75" thickBot="1" x14ac:dyDescent="0.3">
      <c r="A78" s="183"/>
      <c r="B78" s="184"/>
    </row>
    <row r="79" spans="1:22" ht="21" x14ac:dyDescent="0.35">
      <c r="A79" s="185" t="s">
        <v>14</v>
      </c>
      <c r="B79" s="18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O79" s="166" t="s">
        <v>72</v>
      </c>
      <c r="P79" s="166"/>
      <c r="Q79" s="166"/>
      <c r="R79" s="166"/>
      <c r="S79" s="166"/>
      <c r="T79" s="166"/>
      <c r="U79" s="166"/>
      <c r="V79" s="166"/>
    </row>
    <row r="80" spans="1:22" ht="36" x14ac:dyDescent="0.25">
      <c r="A80" s="4" t="s">
        <v>15</v>
      </c>
      <c r="B80" s="4" t="s">
        <v>16</v>
      </c>
      <c r="C80" s="4" t="s">
        <v>31</v>
      </c>
      <c r="D80" s="6" t="s">
        <v>17</v>
      </c>
      <c r="E80" s="6" t="s">
        <v>18</v>
      </c>
      <c r="F80" s="6" t="s">
        <v>19</v>
      </c>
      <c r="G80" s="6" t="s">
        <v>20</v>
      </c>
      <c r="H80" s="6" t="s">
        <v>21</v>
      </c>
      <c r="I80" s="6" t="s">
        <v>22</v>
      </c>
      <c r="J80" s="6" t="s">
        <v>23</v>
      </c>
      <c r="K80" s="6" t="s">
        <v>24</v>
      </c>
      <c r="L80" s="6" t="s">
        <v>25</v>
      </c>
      <c r="M80" s="6" t="s">
        <v>26</v>
      </c>
      <c r="N80" s="8"/>
      <c r="O80" s="167" t="s">
        <v>32</v>
      </c>
      <c r="P80" s="167" t="s">
        <v>35</v>
      </c>
      <c r="Q80" s="167" t="s">
        <v>66</v>
      </c>
      <c r="R80" s="91" t="s">
        <v>67</v>
      </c>
      <c r="S80" s="91" t="s">
        <v>68</v>
      </c>
      <c r="T80" s="167" t="s">
        <v>69</v>
      </c>
      <c r="U80" s="71" t="s">
        <v>33</v>
      </c>
      <c r="V80" s="91" t="s">
        <v>70</v>
      </c>
    </row>
    <row r="81" spans="1:34" x14ac:dyDescent="0.25">
      <c r="A81" s="3" t="s">
        <v>27</v>
      </c>
      <c r="B81" s="3">
        <v>0</v>
      </c>
      <c r="C81" s="3">
        <v>0.3</v>
      </c>
      <c r="D81" s="3">
        <v>243</v>
      </c>
      <c r="E81" s="3">
        <v>1.73</v>
      </c>
      <c r="F81" s="3">
        <v>5</v>
      </c>
      <c r="G81" s="169">
        <v>12</v>
      </c>
      <c r="H81" s="3">
        <v>1820</v>
      </c>
      <c r="I81" s="169">
        <v>19645</v>
      </c>
      <c r="J81" s="3">
        <v>20</v>
      </c>
      <c r="K81" s="3">
        <v>40</v>
      </c>
      <c r="L81" s="3">
        <v>500</v>
      </c>
      <c r="M81" s="3">
        <v>1000</v>
      </c>
      <c r="O81" s="168"/>
      <c r="P81" s="168"/>
      <c r="Q81" s="168"/>
      <c r="R81" s="72" t="s">
        <v>71</v>
      </c>
      <c r="S81" s="72" t="s">
        <v>71</v>
      </c>
      <c r="T81" s="168"/>
      <c r="U81" s="73">
        <v>500</v>
      </c>
      <c r="V81" s="3">
        <v>1.5</v>
      </c>
    </row>
    <row r="82" spans="1:34" x14ac:dyDescent="0.25">
      <c r="A82" s="3" t="s">
        <v>28</v>
      </c>
      <c r="B82" s="3">
        <v>0</v>
      </c>
      <c r="C82" s="3">
        <v>0.3</v>
      </c>
      <c r="D82" s="3">
        <v>254</v>
      </c>
      <c r="E82" s="3">
        <v>1.88</v>
      </c>
      <c r="F82" s="3">
        <v>3</v>
      </c>
      <c r="G82" s="170"/>
      <c r="H82" s="3">
        <v>2720</v>
      </c>
      <c r="I82" s="170"/>
      <c r="J82" s="5"/>
      <c r="K82" s="5"/>
      <c r="L82" s="5"/>
      <c r="M82" s="5"/>
      <c r="O82" s="74">
        <v>1</v>
      </c>
      <c r="P82" s="74">
        <v>106</v>
      </c>
      <c r="Q82" s="74">
        <v>110</v>
      </c>
      <c r="R82" s="74">
        <v>6</v>
      </c>
      <c r="S82" s="74">
        <v>5</v>
      </c>
      <c r="T82" s="74">
        <f>R82*$U$5/60+S82</f>
        <v>55</v>
      </c>
      <c r="U82" s="75"/>
    </row>
    <row r="83" spans="1:34" x14ac:dyDescent="0.25">
      <c r="A83" s="3" t="s">
        <v>29</v>
      </c>
      <c r="B83" s="3">
        <v>0</v>
      </c>
      <c r="C83" s="3">
        <v>0.3</v>
      </c>
      <c r="D83" s="3">
        <v>143</v>
      </c>
      <c r="E83" s="3">
        <v>2.4300000000000002</v>
      </c>
      <c r="F83" s="3">
        <v>8</v>
      </c>
      <c r="G83" s="170"/>
      <c r="H83" s="3">
        <v>3700</v>
      </c>
      <c r="I83" s="170"/>
      <c r="J83" s="5"/>
      <c r="K83" s="140" t="s">
        <v>73</v>
      </c>
      <c r="L83" s="141">
        <v>12</v>
      </c>
      <c r="M83" s="140" t="s">
        <v>74</v>
      </c>
      <c r="N83" s="141">
        <v>19645</v>
      </c>
      <c r="O83" s="74">
        <v>2</v>
      </c>
      <c r="P83" s="74">
        <v>76</v>
      </c>
      <c r="Q83" s="74">
        <v>40</v>
      </c>
      <c r="R83" s="74">
        <v>9</v>
      </c>
      <c r="S83" s="74">
        <v>2</v>
      </c>
      <c r="T83" s="74">
        <f t="shared" ref="T83:T85" si="8">R83*$U$5/60+S83</f>
        <v>77</v>
      </c>
      <c r="U83" s="75"/>
    </row>
    <row r="84" spans="1:34" x14ac:dyDescent="0.25">
      <c r="A84" s="3" t="s">
        <v>30</v>
      </c>
      <c r="B84" s="3">
        <v>0</v>
      </c>
      <c r="C84" s="3">
        <v>0.3</v>
      </c>
      <c r="D84" s="3">
        <v>449</v>
      </c>
      <c r="E84" s="3">
        <v>2.5299999999999998</v>
      </c>
      <c r="F84" s="3">
        <v>4</v>
      </c>
      <c r="G84" s="171"/>
      <c r="H84" s="3">
        <v>4320</v>
      </c>
      <c r="I84" s="171"/>
      <c r="J84" s="5"/>
      <c r="K84" s="140"/>
      <c r="L84" s="141"/>
      <c r="M84" s="140"/>
      <c r="N84" s="141"/>
      <c r="O84" s="74">
        <v>3</v>
      </c>
      <c r="P84" s="74">
        <v>95</v>
      </c>
      <c r="Q84" s="74">
        <v>67</v>
      </c>
      <c r="R84" s="74">
        <v>5</v>
      </c>
      <c r="S84" s="74">
        <v>4</v>
      </c>
      <c r="T84" s="74">
        <f t="shared" si="8"/>
        <v>45.666666666666664</v>
      </c>
      <c r="U84" s="75"/>
    </row>
    <row r="85" spans="1:34" ht="15.75" thickBo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O85" s="74">
        <v>4</v>
      </c>
      <c r="P85" s="74">
        <v>140</v>
      </c>
      <c r="Q85" s="94">
        <v>85</v>
      </c>
      <c r="R85" s="94">
        <v>8</v>
      </c>
      <c r="S85" s="94">
        <v>3</v>
      </c>
      <c r="T85" s="74">
        <f t="shared" si="8"/>
        <v>69.666666666666671</v>
      </c>
    </row>
    <row r="86" spans="1:34" x14ac:dyDescent="0.25">
      <c r="A86" s="142" t="s">
        <v>36</v>
      </c>
      <c r="B86" s="144" t="s">
        <v>106</v>
      </c>
      <c r="C86" s="144"/>
      <c r="D86" s="144"/>
      <c r="E86" s="144"/>
      <c r="F86" s="20" t="s">
        <v>27</v>
      </c>
      <c r="G86" s="20" t="s">
        <v>28</v>
      </c>
      <c r="H86" s="20" t="s">
        <v>29</v>
      </c>
      <c r="I86" s="20" t="s">
        <v>30</v>
      </c>
    </row>
    <row r="87" spans="1:34" ht="15.75" thickBot="1" x14ac:dyDescent="0.3">
      <c r="A87" s="143"/>
      <c r="B87" s="145"/>
      <c r="C87" s="145"/>
      <c r="D87" s="145"/>
      <c r="E87" s="145"/>
      <c r="F87" s="20">
        <v>126</v>
      </c>
      <c r="G87" s="26">
        <v>91</v>
      </c>
      <c r="H87" s="26">
        <v>67</v>
      </c>
      <c r="I87" s="26">
        <v>201</v>
      </c>
    </row>
    <row r="88" spans="1:34" ht="15.75" thickBot="1" x14ac:dyDescent="0.3">
      <c r="A88" s="143"/>
      <c r="B88" s="145"/>
      <c r="C88" s="145"/>
      <c r="D88" s="145"/>
      <c r="E88" s="145"/>
      <c r="F88" s="7"/>
      <c r="G88" s="146" t="s">
        <v>27</v>
      </c>
      <c r="H88" s="147"/>
      <c r="I88" s="147"/>
      <c r="J88" s="147"/>
      <c r="K88" s="148"/>
      <c r="L88" s="149" t="s">
        <v>28</v>
      </c>
      <c r="M88" s="150"/>
      <c r="N88" s="150"/>
      <c r="O88" s="150"/>
      <c r="P88" s="151"/>
      <c r="Q88" s="152" t="s">
        <v>29</v>
      </c>
      <c r="R88" s="153"/>
      <c r="S88" s="153"/>
      <c r="T88" s="153"/>
      <c r="U88" s="154"/>
      <c r="V88" s="155" t="s">
        <v>30</v>
      </c>
      <c r="W88" s="156"/>
      <c r="X88" s="156"/>
      <c r="Y88" s="156"/>
      <c r="Z88" s="157"/>
      <c r="AA88" s="158" t="s">
        <v>42</v>
      </c>
      <c r="AB88" s="159"/>
      <c r="AC88" s="160" t="s">
        <v>44</v>
      </c>
      <c r="AD88" s="162" t="s">
        <v>47</v>
      </c>
      <c r="AE88" s="163"/>
      <c r="AF88" s="163"/>
      <c r="AG88" s="164"/>
      <c r="AH88" s="138" t="s">
        <v>62</v>
      </c>
    </row>
    <row r="89" spans="1:34" ht="36.75" x14ac:dyDescent="0.25">
      <c r="A89" s="21" t="s">
        <v>32</v>
      </c>
      <c r="B89" s="22" t="s">
        <v>37</v>
      </c>
      <c r="C89" s="23" t="s">
        <v>33</v>
      </c>
      <c r="D89" s="22" t="s">
        <v>38</v>
      </c>
      <c r="E89" s="22" t="s">
        <v>34</v>
      </c>
      <c r="F89" s="25" t="s">
        <v>35</v>
      </c>
      <c r="G89" s="27" t="s">
        <v>39</v>
      </c>
      <c r="H89" s="10" t="s">
        <v>40</v>
      </c>
      <c r="I89" s="10" t="s">
        <v>45</v>
      </c>
      <c r="J89" s="10" t="s">
        <v>46</v>
      </c>
      <c r="K89" s="28" t="s">
        <v>41</v>
      </c>
      <c r="L89" s="30" t="s">
        <v>39</v>
      </c>
      <c r="M89" s="13" t="s">
        <v>40</v>
      </c>
      <c r="N89" s="13" t="s">
        <v>45</v>
      </c>
      <c r="O89" s="13" t="s">
        <v>46</v>
      </c>
      <c r="P89" s="31" t="s">
        <v>41</v>
      </c>
      <c r="Q89" s="33" t="s">
        <v>39</v>
      </c>
      <c r="R89" s="12" t="s">
        <v>40</v>
      </c>
      <c r="S89" s="12" t="s">
        <v>45</v>
      </c>
      <c r="T89" s="12" t="s">
        <v>46</v>
      </c>
      <c r="U89" s="34" t="s">
        <v>41</v>
      </c>
      <c r="V89" s="36" t="s">
        <v>39</v>
      </c>
      <c r="W89" s="11" t="s">
        <v>40</v>
      </c>
      <c r="X89" s="11" t="s">
        <v>45</v>
      </c>
      <c r="Y89" s="11" t="s">
        <v>46</v>
      </c>
      <c r="Z89" s="37" t="s">
        <v>41</v>
      </c>
      <c r="AA89" s="39" t="s">
        <v>41</v>
      </c>
      <c r="AB89" s="40" t="s">
        <v>43</v>
      </c>
      <c r="AC89" s="161"/>
      <c r="AD89" s="43" t="s">
        <v>27</v>
      </c>
      <c r="AE89" s="1" t="s">
        <v>28</v>
      </c>
      <c r="AF89" s="1" t="s">
        <v>29</v>
      </c>
      <c r="AG89" s="1" t="s">
        <v>30</v>
      </c>
      <c r="AH89" s="139"/>
    </row>
    <row r="90" spans="1:34" x14ac:dyDescent="0.25">
      <c r="A90" s="24">
        <v>3</v>
      </c>
      <c r="B90" s="9">
        <v>5</v>
      </c>
      <c r="C90" s="9">
        <v>500</v>
      </c>
      <c r="D90" s="9">
        <v>4</v>
      </c>
      <c r="E90" s="48">
        <f>B90*C90/60+D90</f>
        <v>45.666666666666664</v>
      </c>
      <c r="F90" s="14">
        <v>95</v>
      </c>
      <c r="G90" s="49">
        <f>B$5*(1-AD90*C$5)</f>
        <v>0</v>
      </c>
      <c r="H90" s="50">
        <f>G90+E90</f>
        <v>45.666666666666664</v>
      </c>
      <c r="I90" s="15">
        <f>(H90/D$5)^E$5</f>
        <v>5.5463587496332782E-2</v>
      </c>
      <c r="J90" s="15">
        <f>(G90/D$5)^E$5</f>
        <v>0</v>
      </c>
      <c r="K90" s="29">
        <f>1-EXP(J90-I90)</f>
        <v>5.3953529036131931E-2</v>
      </c>
      <c r="L90" s="51">
        <f>B$6*(1-AE90*C$6)</f>
        <v>0</v>
      </c>
      <c r="M90" s="52">
        <f>L90+E90</f>
        <v>45.666666666666664</v>
      </c>
      <c r="N90" s="17">
        <f>(M90/D$6)^E$6</f>
        <v>3.9715434673642101E-2</v>
      </c>
      <c r="O90" s="17">
        <f>(L90/D$6)^E$6</f>
        <v>0</v>
      </c>
      <c r="P90" s="32">
        <f>1-EXP(O90-N90)</f>
        <v>3.8937114582545562E-2</v>
      </c>
      <c r="Q90" s="53">
        <f>B$7*(1-AF90*C$7)</f>
        <v>0</v>
      </c>
      <c r="R90" s="54">
        <f>Q90+E90</f>
        <v>45.666666666666664</v>
      </c>
      <c r="S90" s="16">
        <f>(R90/D$7)^E$7</f>
        <v>6.2425173515745024E-2</v>
      </c>
      <c r="T90" s="16">
        <f>(Q90/D$7)^E$7</f>
        <v>0</v>
      </c>
      <c r="U90" s="35">
        <f>1-EXP(T90-S90)</f>
        <v>6.0516641579816954E-2</v>
      </c>
      <c r="V90" s="55">
        <f>B$8*(1-AG90*C$8)</f>
        <v>0</v>
      </c>
      <c r="W90" s="56">
        <f>V90+E90</f>
        <v>45.666666666666664</v>
      </c>
      <c r="X90" s="18">
        <f>(W90/D$8)^E$8</f>
        <v>3.0803709406480337E-3</v>
      </c>
      <c r="Y90" s="18">
        <f>(V90/D$8)^E$8</f>
        <v>0</v>
      </c>
      <c r="Z90" s="38">
        <f>1-EXP(Y90-X90)</f>
        <v>3.0756314657778283E-3</v>
      </c>
      <c r="AA90" s="41">
        <f>K90*P90*U90*Z90</f>
        <v>3.9101438569080559E-7</v>
      </c>
      <c r="AB90" s="42">
        <f>1-AA90</f>
        <v>0.99999960898561435</v>
      </c>
      <c r="AC90" s="47">
        <f>(AD90*F$5+AE90*F$6+AF90*F$7+AG90*F$8)+E90</f>
        <v>45.666666666666664</v>
      </c>
      <c r="AD90" s="43">
        <v>0</v>
      </c>
      <c r="AE90" s="1">
        <v>0</v>
      </c>
      <c r="AF90" s="1">
        <v>0</v>
      </c>
      <c r="AG90" s="1">
        <v>0</v>
      </c>
      <c r="AH90" s="44">
        <v>67</v>
      </c>
    </row>
    <row r="91" spans="1:34" x14ac:dyDescent="0.25">
      <c r="A91" s="24">
        <v>2</v>
      </c>
      <c r="B91" s="9">
        <v>9</v>
      </c>
      <c r="C91" s="9">
        <v>500</v>
      </c>
      <c r="D91" s="9">
        <v>2</v>
      </c>
      <c r="E91" s="9">
        <f t="shared" ref="E91:E93" si="9">B91*C91/60+D91</f>
        <v>77</v>
      </c>
      <c r="F91" s="14">
        <v>76</v>
      </c>
      <c r="G91" s="49">
        <f>H90*(1-AD91*C$5)</f>
        <v>45.666666666666664</v>
      </c>
      <c r="H91" s="50">
        <f>G91+E91</f>
        <v>122.66666666666666</v>
      </c>
      <c r="I91" s="15">
        <f>(H91/D$5)^E$5</f>
        <v>0.30647715135734394</v>
      </c>
      <c r="J91" s="15">
        <f>(G91/D$5)^E$5</f>
        <v>5.5463587496332782E-2</v>
      </c>
      <c r="K91" s="29">
        <f>1-EXP(J91-I91)</f>
        <v>0.22198818135678478</v>
      </c>
      <c r="L91" s="51">
        <f>M90*(1-AE91*C$6)</f>
        <v>45.666666666666664</v>
      </c>
      <c r="M91" s="52">
        <f>L91+E91</f>
        <v>122.66666666666666</v>
      </c>
      <c r="N91" s="17">
        <f>(M91/D$6)^E$6</f>
        <v>0.25451802994245737</v>
      </c>
      <c r="O91" s="17">
        <f>(L91/D$6)^E$6</f>
        <v>3.9715434673642101E-2</v>
      </c>
      <c r="P91" s="32">
        <f>1-EXP(O91-N91)</f>
        <v>0.19329932901054481</v>
      </c>
      <c r="Q91" s="53">
        <f>R90*(1-AF91*C$7)</f>
        <v>31.966666666666661</v>
      </c>
      <c r="R91" s="54">
        <f>Q91+E91</f>
        <v>108.96666666666667</v>
      </c>
      <c r="S91" s="16">
        <f>(R91/D$7)^E$7</f>
        <v>0.51660313457796569</v>
      </c>
      <c r="T91" s="16">
        <f>(Q91/D$7)^E$7</f>
        <v>2.6239043252001361E-2</v>
      </c>
      <c r="U91" s="35">
        <f>1-EXP(T91-S91)</f>
        <v>0.38759661717104965</v>
      </c>
      <c r="V91" s="55">
        <f>W90*(1-AG91*C$8)</f>
        <v>45.666666666666664</v>
      </c>
      <c r="W91" s="56">
        <f>V91+E91</f>
        <v>122.66666666666666</v>
      </c>
      <c r="X91" s="18">
        <f>(W91/D$8)^E$8</f>
        <v>3.7522776286050503E-2</v>
      </c>
      <c r="Y91" s="18">
        <f>(V91/D$8)^E$8</f>
        <v>3.0803709406480337E-3</v>
      </c>
      <c r="Z91" s="38">
        <f>1-EXP(Y91-X91)</f>
        <v>3.3856017186915555E-2</v>
      </c>
      <c r="AA91" s="41">
        <f>K91*P91*U91*Z91</f>
        <v>5.6308770445509494E-4</v>
      </c>
      <c r="AB91" s="42">
        <f>1-AA91</f>
        <v>0.99943691229554488</v>
      </c>
      <c r="AC91" s="47">
        <f>AF91*F$7+E91+AC90</f>
        <v>130.66666666666666</v>
      </c>
      <c r="AD91" s="43">
        <v>0</v>
      </c>
      <c r="AE91" s="1">
        <v>0</v>
      </c>
      <c r="AF91" s="1">
        <v>1</v>
      </c>
      <c r="AG91" s="1">
        <v>0</v>
      </c>
      <c r="AH91" s="44">
        <v>40</v>
      </c>
    </row>
    <row r="92" spans="1:34" x14ac:dyDescent="0.25">
      <c r="A92" s="57">
        <v>1</v>
      </c>
      <c r="B92" s="58">
        <v>6</v>
      </c>
      <c r="C92" s="58">
        <v>500</v>
      </c>
      <c r="D92" s="58">
        <v>5</v>
      </c>
      <c r="E92" s="66">
        <f t="shared" si="9"/>
        <v>55</v>
      </c>
      <c r="F92" s="67">
        <v>106</v>
      </c>
      <c r="G92" s="68">
        <f>H91*(1-AD92*C$5)</f>
        <v>85.86666666666666</v>
      </c>
      <c r="H92" s="69">
        <f>G92+E92</f>
        <v>140.86666666666667</v>
      </c>
      <c r="I92" s="70">
        <f>(H92/D$5)^E$5</f>
        <v>0.3893493001630618</v>
      </c>
      <c r="J92" s="70">
        <f>(G92/D$5)^E$5</f>
        <v>0.16535514464725598</v>
      </c>
      <c r="K92" s="29">
        <f>1-EXP(J92-I92)</f>
        <v>0.20068019403231441</v>
      </c>
      <c r="L92" s="51">
        <f>M91*(1-AE92*C$6)</f>
        <v>85.86666666666666</v>
      </c>
      <c r="M92" s="52">
        <f>L92+E92</f>
        <v>140.86666666666667</v>
      </c>
      <c r="N92" s="17">
        <f>(M92/D$6)^E$6</f>
        <v>0.33012020048485397</v>
      </c>
      <c r="O92" s="17">
        <f>(L92/D$6)^E$6</f>
        <v>0.13016759122196553</v>
      </c>
      <c r="P92" s="32">
        <f>1-EXP(O92-N92)</f>
        <v>0.18123044574873304</v>
      </c>
      <c r="Q92" s="53">
        <f>R91*(1-AF92*C$7)</f>
        <v>76.276666666666657</v>
      </c>
      <c r="R92" s="54">
        <f>Q92+E92</f>
        <v>131.27666666666664</v>
      </c>
      <c r="S92" s="16">
        <f>(R92/D$7)^E$7</f>
        <v>0.8123237537111192</v>
      </c>
      <c r="T92" s="16">
        <f>(Q92/D$7)^E$7</f>
        <v>0.21714272029843543</v>
      </c>
      <c r="U92" s="35">
        <f>1-EXP(T92-S92)</f>
        <v>0.44853727634811669</v>
      </c>
      <c r="V92" s="55">
        <f>W91*(1-AG92*C$8)</f>
        <v>122.66666666666666</v>
      </c>
      <c r="W92" s="56">
        <f>V92+E92</f>
        <v>177.66666666666666</v>
      </c>
      <c r="X92" s="18">
        <f>(W92/D$8)^E$8</f>
        <v>9.5789922449281015E-2</v>
      </c>
      <c r="Y92" s="18">
        <f>(V92/D$8)^E$8</f>
        <v>3.7522776286050503E-2</v>
      </c>
      <c r="Z92" s="38">
        <f>1-EXP(Y92-X92)</f>
        <v>5.6602111356323093E-2</v>
      </c>
      <c r="AA92" s="41">
        <f>K92*P92*U92*Z92</f>
        <v>9.2335104252886432E-4</v>
      </c>
      <c r="AB92" s="42">
        <f>1-AA92</f>
        <v>0.99907664895747117</v>
      </c>
      <c r="AC92" s="47">
        <f>(AF92*F$7)+E92+AC91</f>
        <v>193.66666666666666</v>
      </c>
      <c r="AD92" s="77">
        <v>1</v>
      </c>
      <c r="AE92" s="78">
        <v>1</v>
      </c>
      <c r="AF92" s="78">
        <v>1</v>
      </c>
      <c r="AG92" s="78">
        <v>0</v>
      </c>
      <c r="AH92" s="79">
        <v>110</v>
      </c>
    </row>
    <row r="93" spans="1:34" ht="15.75" thickBot="1" x14ac:dyDescent="0.3">
      <c r="A93" s="76">
        <v>4</v>
      </c>
      <c r="B93" s="58">
        <v>8</v>
      </c>
      <c r="C93" s="58">
        <v>500</v>
      </c>
      <c r="D93" s="58">
        <v>3</v>
      </c>
      <c r="E93" s="66">
        <f t="shared" si="9"/>
        <v>69.666666666666671</v>
      </c>
      <c r="F93" s="67">
        <v>140</v>
      </c>
      <c r="G93" s="68">
        <f>H92*(1-AD93*C$5)</f>
        <v>98.606666666666669</v>
      </c>
      <c r="H93" s="69">
        <f>G93+E93</f>
        <v>168.27333333333334</v>
      </c>
      <c r="I93" s="70">
        <f>(H93/D$5)^E$5</f>
        <v>0.52955077969900988</v>
      </c>
      <c r="J93" s="70">
        <f>(G93/D$5)^E$5</f>
        <v>0.21006756804426371</v>
      </c>
      <c r="K93" s="29">
        <f>1-EXP(J93-I93)</f>
        <v>0.27347560058394416</v>
      </c>
      <c r="L93" s="51">
        <f>M92*(1-AE93*C$6)</f>
        <v>98.606666666666669</v>
      </c>
      <c r="M93" s="52">
        <f>L93+E93</f>
        <v>168.27333333333334</v>
      </c>
      <c r="N93" s="17">
        <f>(M93/D$6)^E$6</f>
        <v>0.46112787141135408</v>
      </c>
      <c r="O93" s="17">
        <f>(L93/D$6)^E$6</f>
        <v>0.16883264152461361</v>
      </c>
      <c r="P93" s="32">
        <f>1-EXP(O93-N93)</f>
        <v>0.25345189987571315</v>
      </c>
      <c r="Q93" s="53">
        <f>R92*(1-AF93*C$7)</f>
        <v>91.893666666666647</v>
      </c>
      <c r="R93" s="54">
        <f>Q93+E93</f>
        <v>161.56033333333332</v>
      </c>
      <c r="S93" s="16">
        <f>(R93/D$7)^E$7</f>
        <v>1.3451999685033165</v>
      </c>
      <c r="T93" s="16">
        <f>(Q93/D$7)^E$7</f>
        <v>0.34144235262522965</v>
      </c>
      <c r="U93" s="35">
        <f>1-EXP(T93-S93)</f>
        <v>0.63350031453846833</v>
      </c>
      <c r="V93" s="55">
        <f>W92*(1-AG93*C$8)</f>
        <v>124.36666666666665</v>
      </c>
      <c r="W93" s="56">
        <f>V93+E93</f>
        <v>194.0333333333333</v>
      </c>
      <c r="X93" s="18">
        <f>(W93/D$8)^E$8</f>
        <v>0.11971371522436358</v>
      </c>
      <c r="Y93" s="18">
        <f>(V93/D$8)^E$8</f>
        <v>3.8852401036237806E-2</v>
      </c>
      <c r="Z93" s="38">
        <f>1-EXP(Y93-X93)</f>
        <v>7.7678404505555187E-2</v>
      </c>
      <c r="AA93" s="41">
        <f>K93*P93*U93*Z93</f>
        <v>3.4108393709561019E-3</v>
      </c>
      <c r="AB93" s="42">
        <f>1-AA93</f>
        <v>0.9965891606290439</v>
      </c>
      <c r="AC93" s="47">
        <f>(AF93*F$7)+E93+AC92</f>
        <v>271.33333333333331</v>
      </c>
      <c r="AD93" s="80">
        <v>1</v>
      </c>
      <c r="AE93" s="45">
        <v>1</v>
      </c>
      <c r="AF93" s="81">
        <v>1</v>
      </c>
      <c r="AG93" s="45">
        <v>1</v>
      </c>
      <c r="AH93" s="82">
        <v>85</v>
      </c>
    </row>
    <row r="94" spans="1:34" ht="18.75" x14ac:dyDescent="0.3">
      <c r="A94" s="132" t="s">
        <v>53</v>
      </c>
      <c r="B94" s="132"/>
      <c r="C94" s="132"/>
      <c r="D94" s="132"/>
      <c r="E94" s="132"/>
      <c r="F94" s="132"/>
      <c r="G94" s="132"/>
      <c r="H94" s="132"/>
      <c r="I94" s="132"/>
      <c r="J94" s="132"/>
      <c r="AG94" s="46"/>
    </row>
    <row r="95" spans="1:34" ht="15.75" x14ac:dyDescent="0.25">
      <c r="A95" s="19" t="s">
        <v>54</v>
      </c>
      <c r="B95" s="60" t="s">
        <v>49</v>
      </c>
      <c r="C95" s="61" t="s">
        <v>50</v>
      </c>
      <c r="D95" s="19" t="s">
        <v>48</v>
      </c>
      <c r="E95" s="60" t="s">
        <v>57</v>
      </c>
      <c r="F95" s="61" t="s">
        <v>50</v>
      </c>
      <c r="G95" s="19" t="s">
        <v>58</v>
      </c>
      <c r="H95" s="60" t="s">
        <v>61</v>
      </c>
      <c r="I95" s="61" t="s">
        <v>50</v>
      </c>
      <c r="J95" s="19" t="s">
        <v>82</v>
      </c>
      <c r="K95" s="83" t="s">
        <v>84</v>
      </c>
      <c r="L95" s="61" t="s">
        <v>50</v>
      </c>
      <c r="M95" s="61" t="s">
        <v>85</v>
      </c>
      <c r="O95" s="174" t="s">
        <v>64</v>
      </c>
      <c r="P95" s="174"/>
      <c r="Q95" s="175" t="s">
        <v>109</v>
      </c>
      <c r="R95" s="175"/>
    </row>
    <row r="96" spans="1:34" ht="24.75" x14ac:dyDescent="0.25">
      <c r="A96" s="61" t="s">
        <v>51</v>
      </c>
      <c r="B96" s="1">
        <f>AA90</f>
        <v>3.9101438569080559E-7</v>
      </c>
      <c r="C96" s="59">
        <f>MAX(AC90+1*L83-F90,0)</f>
        <v>0</v>
      </c>
      <c r="D96" s="62" t="s">
        <v>55</v>
      </c>
      <c r="E96" s="1">
        <f>AA90*AA91</f>
        <v>2.2017539284755483E-10</v>
      </c>
      <c r="F96" s="1">
        <f>MAX(AC91+2*L83-F91,0)</f>
        <v>78.666666666666657</v>
      </c>
      <c r="G96" s="62" t="s">
        <v>59</v>
      </c>
      <c r="H96" s="1">
        <f>AA90*AA91*AA92</f>
        <v>2.0329917852499202E-13</v>
      </c>
      <c r="I96" s="1">
        <f>AC92+3*L83-F92</f>
        <v>123.66666666666666</v>
      </c>
      <c r="J96" s="62" t="s">
        <v>83</v>
      </c>
      <c r="K96" s="1">
        <f>AA90*AA91*AA92*AA93</f>
        <v>6.9342084219607603E-16</v>
      </c>
      <c r="L96" s="1">
        <f>AC93+4*L83-F93</f>
        <v>179.33333333333331</v>
      </c>
      <c r="M96" s="1">
        <f>B96*C96*AH90+E96*F96*AH91+H96*I96*AH92+K96*L96*AH93</f>
        <v>6.9559468603054533E-7</v>
      </c>
      <c r="O96" s="1" t="s">
        <v>27</v>
      </c>
      <c r="P96" s="1">
        <f>2*H81</f>
        <v>3640</v>
      </c>
      <c r="Q96" s="1">
        <f>(K90*(1-P90)*(1-U90)*(1-Z90))+(P90*(1-K90)*(1-U90)*(1-Z90))+(U90*(1-K90)*(1-P90)*(1-Z90))+(Z90*(1-K90)*(1-P90)*(1-U90))</f>
        <v>0.1405459062810282</v>
      </c>
      <c r="R96" s="1">
        <f>Q96*(L$7*(J$5*K$5+L$5)+I$5)</f>
        <v>4953.5404668748388</v>
      </c>
    </row>
    <row r="97" spans="1:20" ht="24.75" x14ac:dyDescent="0.25">
      <c r="A97" s="62" t="s">
        <v>52</v>
      </c>
      <c r="B97" s="1">
        <f>AB90</f>
        <v>0.99999960898561435</v>
      </c>
      <c r="C97" s="59">
        <f>MAX(AC90-F90,0)</f>
        <v>0</v>
      </c>
      <c r="D97" s="62" t="s">
        <v>56</v>
      </c>
      <c r="E97" s="1">
        <f>AA90*AB91+AA91*AB90</f>
        <v>5.6347827849000012E-4</v>
      </c>
      <c r="F97" s="1">
        <f>MAX(AC91+1*L83-F91,0)</f>
        <v>66.666666666666657</v>
      </c>
      <c r="G97" s="62" t="s">
        <v>60</v>
      </c>
      <c r="H97" s="1">
        <f>AA90*AA91*AB92+AA91*AA92*AB90+AA90*AA92*AB91</f>
        <v>5.2050822797978039E-7</v>
      </c>
      <c r="I97" s="1">
        <f>AC92+2*L83-F92</f>
        <v>111.66666666666666</v>
      </c>
      <c r="J97" s="62" t="s">
        <v>59</v>
      </c>
      <c r="K97">
        <f>AB90*AA91*AA92*AA93+AB91*AA90*AA92*AA93*+AB92*AA90*AA91*AA93+AB93*AA90*AA91*AA92</f>
        <v>1.7735915050778057E-9</v>
      </c>
      <c r="L97" s="1">
        <f>AC93+3*L83-F93</f>
        <v>167.33333333333331</v>
      </c>
      <c r="M97" s="1">
        <f>B97*C97*AH90+E97*F97*AH91+H97*I97*AH92+K97*L97*AH93</f>
        <v>1.5090275450901924</v>
      </c>
      <c r="O97" s="1" t="s">
        <v>28</v>
      </c>
      <c r="P97" s="1">
        <f>2*H82</f>
        <v>5440</v>
      </c>
      <c r="Q97" s="1">
        <f t="shared" ref="Q97:Q99" si="10">(K91*(1-P91)*(1-U91)*(1-Z91))+(P91*(1-K91)*(1-U91)*(1-Z91))+(U91*(1-K91)*(1-P91)*(1-Z91))+(Z91*(1-K91)*(1-P91)*(1-U91))</f>
        <v>0.44297708637720112</v>
      </c>
      <c r="R97" s="1">
        <f t="shared" ref="R97:R99" si="11">Q97*(L$7*(J$5*K$5+L$5)+I$5)</f>
        <v>15612.727409364454</v>
      </c>
    </row>
    <row r="98" spans="1:20" ht="24.75" x14ac:dyDescent="0.25">
      <c r="A98" s="1"/>
      <c r="B98" s="1"/>
      <c r="C98" s="1"/>
      <c r="D98" s="62" t="s">
        <v>52</v>
      </c>
      <c r="E98" s="1">
        <f>AB90*AB91</f>
        <v>0.99943652150133466</v>
      </c>
      <c r="F98" s="59">
        <f>MAX(AC91-F91,0)</f>
        <v>54.666666666666657</v>
      </c>
      <c r="G98" s="62" t="s">
        <v>56</v>
      </c>
      <c r="H98" s="1">
        <f>AA90*AB91*AB92+AA91*AB90*AB92*+AA92*AB90*AB91</f>
        <v>9.0958801277246035E-7</v>
      </c>
      <c r="I98" s="1">
        <f>AC92+1*L83-F92</f>
        <v>99.666666666666657</v>
      </c>
      <c r="J98" s="62" t="s">
        <v>60</v>
      </c>
      <c r="K98" s="1">
        <f>AA90*AA91*AB92*AB93 + AA90*AA92*AB91*AB93 + AA90*AA93*AB91*AB92 + AA91*AA92*AB90*AB93 + AA91*AA93*AB90*AB92 + AA92*AA93*AB90*AB91</f>
        <v>5.5865196040176871E-6</v>
      </c>
      <c r="L98" s="1">
        <f>AC93+2*L83-F93</f>
        <v>155.33333333333331</v>
      </c>
      <c r="M98" s="1">
        <f>B98*C98*AH90+E98*F98*AH91+H98*I98*AH92+K98*L98*AH93</f>
        <v>2185.5182598133365</v>
      </c>
      <c r="O98" s="1" t="s">
        <v>29</v>
      </c>
      <c r="P98" s="1">
        <f>3*(F83*(J81*K81+L81)+H83)</f>
        <v>42300</v>
      </c>
      <c r="Q98" s="1">
        <f t="shared" si="10"/>
        <v>0.45820818603849606</v>
      </c>
      <c r="R98" s="1">
        <f t="shared" si="11"/>
        <v>16149.547516926794</v>
      </c>
    </row>
    <row r="99" spans="1:20" ht="24.75" x14ac:dyDescent="0.25">
      <c r="A99" s="1"/>
      <c r="B99" s="1"/>
      <c r="C99" s="1"/>
      <c r="D99" s="1"/>
      <c r="E99" s="1"/>
      <c r="F99" s="1"/>
      <c r="G99" s="62" t="s">
        <v>52</v>
      </c>
      <c r="H99" s="1">
        <f>AB90*AB91*AB92</f>
        <v>0.99851369074726504</v>
      </c>
      <c r="I99" s="63">
        <f>AC92-F92</f>
        <v>87.666666666666657</v>
      </c>
      <c r="J99" s="62" t="s">
        <v>56</v>
      </c>
      <c r="K99" s="1">
        <f>AA90*AB91*AB92*AB93+AA91*AB90*AB92*AB93+AA92*AB90*AB91*AB93+AA93*AB90*AB91*AB92</f>
        <v>4.886490766397255E-3</v>
      </c>
      <c r="L99" s="1">
        <f>AC93+1*L83-F93</f>
        <v>143.33333333333331</v>
      </c>
      <c r="M99" s="1">
        <f>B99*C99*AH90+E99*F99*AH91+H99*I99*AH92+K99*L99*AH93</f>
        <v>9688.5341036100635</v>
      </c>
      <c r="O99" s="1" t="s">
        <v>30</v>
      </c>
      <c r="P99" s="1">
        <f>1*H84</f>
        <v>4320</v>
      </c>
      <c r="Q99" s="1">
        <f t="shared" si="10"/>
        <v>0.46360999511233691</v>
      </c>
      <c r="R99" s="1">
        <f t="shared" si="11"/>
        <v>16339.934277734315</v>
      </c>
    </row>
    <row r="100" spans="1:20" ht="30" x14ac:dyDescent="0.25">
      <c r="I100" s="84"/>
      <c r="J100" s="62" t="s">
        <v>52</v>
      </c>
      <c r="K100" s="85">
        <f>AB90*AB91*AB92*AB93</f>
        <v>0.99510792093842559</v>
      </c>
      <c r="L100" s="1">
        <f>AC93+0*L83-F93</f>
        <v>131.33333333333331</v>
      </c>
      <c r="M100" s="1">
        <f>B100*C100*AH90+E100*F100*AH91+H100*I100*AH92+K100*L100*AH93</f>
        <v>11108.721424075955</v>
      </c>
      <c r="O100" s="64" t="s">
        <v>65</v>
      </c>
      <c r="P100" s="65">
        <f>SUM(P96:P99)</f>
        <v>55700</v>
      </c>
      <c r="Q100" s="96" t="s">
        <v>108</v>
      </c>
      <c r="R100" s="97">
        <f>SUM(R96:R99)</f>
        <v>53055.749670900404</v>
      </c>
    </row>
    <row r="101" spans="1:20" x14ac:dyDescent="0.25">
      <c r="L101" s="176" t="s">
        <v>63</v>
      </c>
      <c r="M101" s="177">
        <f>SUM(M96:M100)</f>
        <v>22984.28281574004</v>
      </c>
    </row>
    <row r="102" spans="1:20" x14ac:dyDescent="0.25">
      <c r="L102" s="176"/>
      <c r="M102" s="177"/>
    </row>
    <row r="103" spans="1:20" x14ac:dyDescent="0.25">
      <c r="A103" s="178" t="s">
        <v>90</v>
      </c>
      <c r="B103" s="178"/>
      <c r="C103" s="178"/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</row>
    <row r="104" spans="1:20" ht="15.75" x14ac:dyDescent="0.25">
      <c r="A104" s="87" t="s">
        <v>76</v>
      </c>
      <c r="B104" s="62" t="s">
        <v>49</v>
      </c>
      <c r="C104" s="90" t="s">
        <v>102</v>
      </c>
      <c r="D104" s="62" t="s">
        <v>88</v>
      </c>
      <c r="E104" s="87" t="s">
        <v>75</v>
      </c>
      <c r="F104" s="62" t="s">
        <v>57</v>
      </c>
      <c r="G104" s="90" t="s">
        <v>87</v>
      </c>
      <c r="H104" s="62" t="s">
        <v>88</v>
      </c>
      <c r="I104" s="87" t="s">
        <v>77</v>
      </c>
      <c r="J104" s="62" t="s">
        <v>61</v>
      </c>
      <c r="K104" s="90" t="s">
        <v>78</v>
      </c>
      <c r="L104" s="62" t="s">
        <v>88</v>
      </c>
      <c r="M104" s="87" t="s">
        <v>86</v>
      </c>
      <c r="N104" s="62" t="s">
        <v>84</v>
      </c>
      <c r="O104" s="90" t="s">
        <v>103</v>
      </c>
      <c r="P104" s="62" t="s">
        <v>88</v>
      </c>
    </row>
    <row r="105" spans="1:20" ht="24.75" x14ac:dyDescent="0.25">
      <c r="A105" s="62" t="s">
        <v>51</v>
      </c>
      <c r="B105" s="86">
        <v>3.9101438569080559E-7</v>
      </c>
      <c r="C105" s="86">
        <f>AC90+1*L83</f>
        <v>57.666666666666664</v>
      </c>
      <c r="D105" s="86">
        <f>MAX(B105*1.5*((C105-F90)*500/2),0)</f>
        <v>0</v>
      </c>
      <c r="E105" s="62" t="s">
        <v>55</v>
      </c>
      <c r="F105" s="86">
        <v>2.2017539284755483E-10</v>
      </c>
      <c r="G105" s="86">
        <f>AC91+2*L83</f>
        <v>154.66666666666666</v>
      </c>
      <c r="H105" s="86">
        <f>F105*1.5*((G105-F91)*500/2+(G105-F92)*500 + (G105-F93)*500)</f>
        <v>1.6953505249261718E-5</v>
      </c>
      <c r="I105" s="62" t="s">
        <v>59</v>
      </c>
      <c r="J105" s="86">
        <v>2.0329917852499202E-13</v>
      </c>
      <c r="K105" s="86">
        <f>AC92+3*L83</f>
        <v>229.66666666666666</v>
      </c>
      <c r="L105" s="86">
        <f>J105*1.5*((K105-G105)*500/2+(K105-G105)*500)</f>
        <v>1.7153368188046201E-8</v>
      </c>
      <c r="M105" s="62" t="s">
        <v>83</v>
      </c>
      <c r="N105" s="86">
        <v>6.9342084219607603E-16</v>
      </c>
      <c r="O105" s="86">
        <f>AC93+4*L83</f>
        <v>319.33333333333331</v>
      </c>
      <c r="P105" s="86">
        <f>N105*1.5*((O105-K105)*500/2)</f>
        <v>2.3316275818843054E-11</v>
      </c>
    </row>
    <row r="106" spans="1:20" ht="24.75" x14ac:dyDescent="0.25">
      <c r="A106" s="62" t="s">
        <v>52</v>
      </c>
      <c r="B106" s="86">
        <v>0.99999960898561435</v>
      </c>
      <c r="C106" s="88">
        <f>AC90</f>
        <v>45.666666666666664</v>
      </c>
      <c r="D106" s="86">
        <f>MAX(B106*1.5*((C106-F90)*500/2),0)</f>
        <v>0</v>
      </c>
      <c r="E106" s="62" t="s">
        <v>56</v>
      </c>
      <c r="F106" s="86">
        <v>5.6347827849000012E-4</v>
      </c>
      <c r="G106" s="86">
        <f>AC91+1*L83</f>
        <v>142.66666666666666</v>
      </c>
      <c r="H106" s="86">
        <f>F106*1.5*((G106-F91)*500/2+(G106-F92)*500+(G106-F93)*500)</f>
        <v>30.709566177704993</v>
      </c>
      <c r="I106" s="62" t="s">
        <v>60</v>
      </c>
      <c r="J106" s="86">
        <v>5.2050822797978039E-7</v>
      </c>
      <c r="K106" s="86">
        <f>AC92+2*L83</f>
        <v>217.66666666666666</v>
      </c>
      <c r="L106" s="86">
        <f>J106*1.5*((K106-G106)*500/2+(K106-G106)*500)</f>
        <v>4.3917881735793973E-2</v>
      </c>
      <c r="M106" s="62" t="s">
        <v>59</v>
      </c>
      <c r="N106" s="86">
        <v>1.7735915050778057E-9</v>
      </c>
      <c r="O106" s="86">
        <f>AC93+3*L83</f>
        <v>307.33333333333331</v>
      </c>
      <c r="P106" s="86">
        <f>N106*1.5*((O106-K106)*500/2)</f>
        <v>5.9637014358241211E-5</v>
      </c>
    </row>
    <row r="107" spans="1:20" x14ac:dyDescent="0.25">
      <c r="A107" s="86"/>
      <c r="B107" s="86"/>
      <c r="C107" s="89" t="s">
        <v>89</v>
      </c>
      <c r="D107" s="89">
        <f>SUM(D105:D106)</f>
        <v>0</v>
      </c>
      <c r="E107" s="62" t="s">
        <v>52</v>
      </c>
      <c r="F107" s="86">
        <v>0.99943652150133466</v>
      </c>
      <c r="G107" s="86">
        <f>AC91+0*L83</f>
        <v>130.66666666666666</v>
      </c>
      <c r="H107" s="86">
        <f>F107*1.5*((G107-F91)*500/2+(G107-F92)*500)</f>
        <v>38978.024338552037</v>
      </c>
      <c r="I107" s="62" t="s">
        <v>56</v>
      </c>
      <c r="J107" s="86">
        <v>9.0958801277246035E-7</v>
      </c>
      <c r="K107" s="86">
        <f>AC92+1*L83</f>
        <v>205.66666666666666</v>
      </c>
      <c r="L107" s="86">
        <f>J107*1.5*((K107-G107)*500/2+(K107-F93)*500)</f>
        <v>7.0379372488269115E-2</v>
      </c>
      <c r="M107" s="62" t="s">
        <v>60</v>
      </c>
      <c r="N107" s="86">
        <v>5.5865196040176871E-6</v>
      </c>
      <c r="O107" s="86">
        <f>AC93+2*L83</f>
        <v>295.33333333333331</v>
      </c>
      <c r="P107" s="86">
        <f>N107*1.5*((O107-K107)*500/2)</f>
        <v>0.1878467216850947</v>
      </c>
    </row>
    <row r="108" spans="1:20" x14ac:dyDescent="0.25">
      <c r="A108" s="86"/>
      <c r="B108" s="86"/>
      <c r="C108" s="86"/>
      <c r="D108" s="86"/>
      <c r="E108" s="86"/>
      <c r="F108" s="86"/>
      <c r="G108" s="89" t="s">
        <v>79</v>
      </c>
      <c r="H108" s="89">
        <f>SUM(H105:H107)</f>
        <v>39008.733921683248</v>
      </c>
      <c r="I108" s="62" t="s">
        <v>52</v>
      </c>
      <c r="J108" s="86">
        <v>0.99851369074726504</v>
      </c>
      <c r="K108" s="86">
        <f>AC92+0*L83</f>
        <v>193.66666666666666</v>
      </c>
      <c r="L108" s="86">
        <f>J108*1.5*((K108-G107)*500/2+(K108-F93)*500)</f>
        <v>63780.061996481541</v>
      </c>
      <c r="M108" s="62" t="s">
        <v>56</v>
      </c>
      <c r="N108" s="86">
        <v>4.886490766397255E-3</v>
      </c>
      <c r="O108" s="86">
        <f>AC93+1*L83</f>
        <v>283.33333333333331</v>
      </c>
      <c r="P108" s="86">
        <f>N108*1.5*((O108-K108)*500/2)</f>
        <v>164.30825202010769</v>
      </c>
    </row>
    <row r="109" spans="1:20" x14ac:dyDescent="0.25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9" t="s">
        <v>79</v>
      </c>
      <c r="L109" s="89">
        <f>SUM(L105:L108)</f>
        <v>63780.17629375292</v>
      </c>
      <c r="M109" s="62" t="s">
        <v>52</v>
      </c>
      <c r="N109" s="86">
        <v>0.99510792093842559</v>
      </c>
      <c r="O109" s="86">
        <f>AC93+0*L83</f>
        <v>271.33333333333331</v>
      </c>
      <c r="P109" s="86">
        <f>N109*1.5*((O109-K108)*500/2)</f>
        <v>28982.518197331643</v>
      </c>
      <c r="Q109" s="179" t="s">
        <v>80</v>
      </c>
      <c r="R109" s="179"/>
      <c r="S109" s="180">
        <f>D107+H108+L109+P110</f>
        <v>131935.92457114664</v>
      </c>
      <c r="T109" s="180"/>
    </row>
    <row r="110" spans="1:20" x14ac:dyDescent="0.25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9" t="s">
        <v>79</v>
      </c>
      <c r="P110" s="89">
        <f>SUM(P105:P109)</f>
        <v>29147.014355710475</v>
      </c>
      <c r="Q110" s="179"/>
      <c r="R110" s="179"/>
      <c r="S110" s="180"/>
      <c r="T110" s="180"/>
    </row>
    <row r="111" spans="1:20" x14ac:dyDescent="0.25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</row>
    <row r="112" spans="1:20" x14ac:dyDescent="0.25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</row>
    <row r="113" spans="1:34" x14ac:dyDescent="0.25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</row>
    <row r="114" spans="1:34" ht="24.75" thickBot="1" x14ac:dyDescent="0.3">
      <c r="O114" s="131" t="s">
        <v>81</v>
      </c>
      <c r="P114" s="131"/>
      <c r="Q114" s="131">
        <f>(R100+P100+M101+S109)/AC93</f>
        <v>971.77871151518593</v>
      </c>
      <c r="R114" s="131"/>
    </row>
    <row r="115" spans="1:34" x14ac:dyDescent="0.25">
      <c r="A115" s="181" t="s">
        <v>92</v>
      </c>
      <c r="B115" s="182"/>
    </row>
    <row r="116" spans="1:34" ht="15.75" thickBot="1" x14ac:dyDescent="0.3">
      <c r="A116" s="183"/>
      <c r="B116" s="184"/>
    </row>
    <row r="117" spans="1:34" ht="21" x14ac:dyDescent="0.35">
      <c r="A117" s="185" t="s">
        <v>14</v>
      </c>
      <c r="B117" s="18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65"/>
      <c r="O117" s="166" t="s">
        <v>72</v>
      </c>
      <c r="P117" s="166"/>
      <c r="Q117" s="166"/>
      <c r="R117" s="166"/>
      <c r="S117" s="166"/>
      <c r="T117" s="166"/>
      <c r="U117" s="166"/>
      <c r="V117" s="166"/>
    </row>
    <row r="118" spans="1:34" ht="36" x14ac:dyDescent="0.25">
      <c r="A118" s="4" t="s">
        <v>15</v>
      </c>
      <c r="B118" s="4" t="s">
        <v>16</v>
      </c>
      <c r="C118" s="4" t="s">
        <v>31</v>
      </c>
      <c r="D118" s="6" t="s">
        <v>17</v>
      </c>
      <c r="E118" s="6" t="s">
        <v>18</v>
      </c>
      <c r="F118" s="6" t="s">
        <v>19</v>
      </c>
      <c r="G118" s="6" t="s">
        <v>20</v>
      </c>
      <c r="H118" s="6" t="s">
        <v>21</v>
      </c>
      <c r="I118" s="6" t="s">
        <v>22</v>
      </c>
      <c r="J118" s="6" t="s">
        <v>23</v>
      </c>
      <c r="K118" s="6" t="s">
        <v>24</v>
      </c>
      <c r="L118" s="6" t="s">
        <v>25</v>
      </c>
      <c r="M118" s="6" t="s">
        <v>26</v>
      </c>
      <c r="N118" s="8"/>
      <c r="O118" s="167" t="s">
        <v>32</v>
      </c>
      <c r="P118" s="167" t="s">
        <v>35</v>
      </c>
      <c r="Q118" s="167" t="s">
        <v>66</v>
      </c>
      <c r="R118" s="91" t="s">
        <v>67</v>
      </c>
      <c r="S118" s="91" t="s">
        <v>68</v>
      </c>
      <c r="T118" s="167" t="s">
        <v>69</v>
      </c>
      <c r="U118" s="71" t="s">
        <v>33</v>
      </c>
      <c r="V118" s="91" t="s">
        <v>70</v>
      </c>
    </row>
    <row r="119" spans="1:34" x14ac:dyDescent="0.25">
      <c r="A119" s="3" t="s">
        <v>27</v>
      </c>
      <c r="B119" s="3">
        <v>0</v>
      </c>
      <c r="C119" s="3">
        <v>0.3</v>
      </c>
      <c r="D119" s="3">
        <v>243</v>
      </c>
      <c r="E119" s="3">
        <v>1.73</v>
      </c>
      <c r="F119" s="3">
        <v>5</v>
      </c>
      <c r="G119" s="169">
        <v>12</v>
      </c>
      <c r="H119" s="3">
        <v>1820</v>
      </c>
      <c r="I119" s="169">
        <v>19645</v>
      </c>
      <c r="J119" s="3">
        <v>20</v>
      </c>
      <c r="K119" s="3">
        <v>40</v>
      </c>
      <c r="L119" s="3">
        <v>500</v>
      </c>
      <c r="M119" s="3">
        <v>1000</v>
      </c>
      <c r="O119" s="168"/>
      <c r="P119" s="168"/>
      <c r="Q119" s="168"/>
      <c r="R119" s="72" t="s">
        <v>71</v>
      </c>
      <c r="S119" s="72" t="s">
        <v>71</v>
      </c>
      <c r="T119" s="168"/>
      <c r="U119" s="73">
        <v>500</v>
      </c>
      <c r="V119" s="3">
        <v>1.5</v>
      </c>
    </row>
    <row r="120" spans="1:34" x14ac:dyDescent="0.25">
      <c r="A120" s="3" t="s">
        <v>28</v>
      </c>
      <c r="B120" s="3">
        <v>0</v>
      </c>
      <c r="C120" s="3">
        <v>0.3</v>
      </c>
      <c r="D120" s="3">
        <v>254</v>
      </c>
      <c r="E120" s="3">
        <v>1.88</v>
      </c>
      <c r="F120" s="3">
        <v>3</v>
      </c>
      <c r="G120" s="170"/>
      <c r="H120" s="3">
        <v>2720</v>
      </c>
      <c r="I120" s="170"/>
      <c r="J120" s="5"/>
      <c r="K120" s="5"/>
      <c r="L120" s="5"/>
      <c r="M120" s="5"/>
      <c r="O120" s="74">
        <v>1</v>
      </c>
      <c r="P120" s="74">
        <v>106</v>
      </c>
      <c r="Q120" s="74">
        <v>110</v>
      </c>
      <c r="R120" s="74">
        <v>6</v>
      </c>
      <c r="S120" s="74">
        <v>5</v>
      </c>
      <c r="T120" s="74">
        <f>R120*$U$5/60+S120</f>
        <v>55</v>
      </c>
      <c r="U120" s="75"/>
    </row>
    <row r="121" spans="1:34" x14ac:dyDescent="0.25">
      <c r="A121" s="3" t="s">
        <v>29</v>
      </c>
      <c r="B121" s="3">
        <v>0</v>
      </c>
      <c r="C121" s="3">
        <v>0.3</v>
      </c>
      <c r="D121" s="3">
        <v>143</v>
      </c>
      <c r="E121" s="3">
        <v>2.4300000000000002</v>
      </c>
      <c r="F121" s="3">
        <v>8</v>
      </c>
      <c r="G121" s="170"/>
      <c r="H121" s="3">
        <v>3700</v>
      </c>
      <c r="I121" s="170"/>
      <c r="J121" s="5"/>
      <c r="K121" s="140" t="s">
        <v>73</v>
      </c>
      <c r="L121" s="141">
        <v>12</v>
      </c>
      <c r="M121" s="140" t="s">
        <v>74</v>
      </c>
      <c r="N121" s="141">
        <v>19645</v>
      </c>
      <c r="O121" s="74">
        <v>2</v>
      </c>
      <c r="P121" s="74">
        <v>76</v>
      </c>
      <c r="Q121" s="74">
        <v>40</v>
      </c>
      <c r="R121" s="74">
        <v>9</v>
      </c>
      <c r="S121" s="74">
        <v>2</v>
      </c>
      <c r="T121" s="74">
        <f t="shared" ref="T121:T123" si="12">R121*$U$5/60+S121</f>
        <v>77</v>
      </c>
      <c r="U121" s="75"/>
    </row>
    <row r="122" spans="1:34" x14ac:dyDescent="0.25">
      <c r="A122" s="3" t="s">
        <v>30</v>
      </c>
      <c r="B122" s="3">
        <v>0</v>
      </c>
      <c r="C122" s="3">
        <v>0.3</v>
      </c>
      <c r="D122" s="3">
        <v>449</v>
      </c>
      <c r="E122" s="3">
        <v>2.5299999999999998</v>
      </c>
      <c r="F122" s="3">
        <v>4</v>
      </c>
      <c r="G122" s="171"/>
      <c r="H122" s="3">
        <v>4320</v>
      </c>
      <c r="I122" s="171"/>
      <c r="J122" s="5"/>
      <c r="K122" s="140"/>
      <c r="L122" s="141"/>
      <c r="M122" s="140"/>
      <c r="N122" s="141"/>
      <c r="O122" s="74">
        <v>3</v>
      </c>
      <c r="P122" s="74">
        <v>95</v>
      </c>
      <c r="Q122" s="74">
        <v>67</v>
      </c>
      <c r="R122" s="74">
        <v>5</v>
      </c>
      <c r="S122" s="74">
        <v>4</v>
      </c>
      <c r="T122" s="74">
        <f t="shared" si="12"/>
        <v>45.666666666666664</v>
      </c>
      <c r="U122" s="75"/>
    </row>
    <row r="123" spans="1:34" ht="15.75" thickBo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O123" s="74">
        <v>4</v>
      </c>
      <c r="P123" s="74">
        <v>140</v>
      </c>
      <c r="Q123" s="94">
        <v>85</v>
      </c>
      <c r="R123" s="94">
        <v>8</v>
      </c>
      <c r="S123" s="94">
        <v>3</v>
      </c>
      <c r="T123" s="74">
        <f t="shared" si="12"/>
        <v>69.666666666666671</v>
      </c>
    </row>
    <row r="124" spans="1:34" x14ac:dyDescent="0.25">
      <c r="A124" s="142" t="s">
        <v>36</v>
      </c>
      <c r="B124" s="144" t="s">
        <v>106</v>
      </c>
      <c r="C124" s="144"/>
      <c r="D124" s="144"/>
      <c r="E124" s="144"/>
      <c r="F124" s="20" t="s">
        <v>27</v>
      </c>
      <c r="G124" s="20" t="s">
        <v>28</v>
      </c>
      <c r="H124" s="20" t="s">
        <v>29</v>
      </c>
      <c r="I124" s="20" t="s">
        <v>30</v>
      </c>
    </row>
    <row r="125" spans="1:34" ht="15.75" thickBot="1" x14ac:dyDescent="0.3">
      <c r="A125" s="143"/>
      <c r="B125" s="145"/>
      <c r="C125" s="145"/>
      <c r="D125" s="145"/>
      <c r="E125" s="145"/>
      <c r="F125" s="20">
        <v>126</v>
      </c>
      <c r="G125" s="26">
        <v>91</v>
      </c>
      <c r="H125" s="26">
        <v>67</v>
      </c>
      <c r="I125" s="26">
        <v>201</v>
      </c>
    </row>
    <row r="126" spans="1:34" ht="15.75" thickBot="1" x14ac:dyDescent="0.3">
      <c r="A126" s="143"/>
      <c r="B126" s="145"/>
      <c r="C126" s="145"/>
      <c r="D126" s="145"/>
      <c r="E126" s="145"/>
      <c r="F126" s="7"/>
      <c r="G126" s="146" t="s">
        <v>27</v>
      </c>
      <c r="H126" s="147"/>
      <c r="I126" s="147"/>
      <c r="J126" s="147"/>
      <c r="K126" s="148"/>
      <c r="L126" s="149" t="s">
        <v>28</v>
      </c>
      <c r="M126" s="150"/>
      <c r="N126" s="150"/>
      <c r="O126" s="150"/>
      <c r="P126" s="151"/>
      <c r="Q126" s="152" t="s">
        <v>29</v>
      </c>
      <c r="R126" s="153"/>
      <c r="S126" s="153"/>
      <c r="T126" s="153"/>
      <c r="U126" s="154"/>
      <c r="V126" s="155" t="s">
        <v>30</v>
      </c>
      <c r="W126" s="156"/>
      <c r="X126" s="156"/>
      <c r="Y126" s="156"/>
      <c r="Z126" s="157"/>
      <c r="AA126" s="158" t="s">
        <v>42</v>
      </c>
      <c r="AB126" s="159"/>
      <c r="AC126" s="160" t="s">
        <v>44</v>
      </c>
      <c r="AD126" s="162" t="s">
        <v>47</v>
      </c>
      <c r="AE126" s="163"/>
      <c r="AF126" s="163"/>
      <c r="AG126" s="164"/>
      <c r="AH126" s="138" t="s">
        <v>62</v>
      </c>
    </row>
    <row r="127" spans="1:34" ht="36.75" x14ac:dyDescent="0.25">
      <c r="A127" s="21" t="s">
        <v>32</v>
      </c>
      <c r="B127" s="22" t="s">
        <v>37</v>
      </c>
      <c r="C127" s="23" t="s">
        <v>33</v>
      </c>
      <c r="D127" s="22" t="s">
        <v>38</v>
      </c>
      <c r="E127" s="22" t="s">
        <v>34</v>
      </c>
      <c r="F127" s="25" t="s">
        <v>35</v>
      </c>
      <c r="G127" s="27" t="s">
        <v>39</v>
      </c>
      <c r="H127" s="10" t="s">
        <v>40</v>
      </c>
      <c r="I127" s="10" t="s">
        <v>45</v>
      </c>
      <c r="J127" s="10" t="s">
        <v>46</v>
      </c>
      <c r="K127" s="28" t="s">
        <v>41</v>
      </c>
      <c r="L127" s="30" t="s">
        <v>39</v>
      </c>
      <c r="M127" s="13" t="s">
        <v>40</v>
      </c>
      <c r="N127" s="13" t="s">
        <v>45</v>
      </c>
      <c r="O127" s="13" t="s">
        <v>46</v>
      </c>
      <c r="P127" s="31" t="s">
        <v>41</v>
      </c>
      <c r="Q127" s="33" t="s">
        <v>39</v>
      </c>
      <c r="R127" s="12" t="s">
        <v>40</v>
      </c>
      <c r="S127" s="12" t="s">
        <v>45</v>
      </c>
      <c r="T127" s="12" t="s">
        <v>46</v>
      </c>
      <c r="U127" s="34" t="s">
        <v>41</v>
      </c>
      <c r="V127" s="36" t="s">
        <v>39</v>
      </c>
      <c r="W127" s="11" t="s">
        <v>40</v>
      </c>
      <c r="X127" s="11" t="s">
        <v>45</v>
      </c>
      <c r="Y127" s="11" t="s">
        <v>46</v>
      </c>
      <c r="Z127" s="37" t="s">
        <v>41</v>
      </c>
      <c r="AA127" s="39" t="s">
        <v>41</v>
      </c>
      <c r="AB127" s="40" t="s">
        <v>43</v>
      </c>
      <c r="AC127" s="161"/>
      <c r="AD127" s="43" t="s">
        <v>27</v>
      </c>
      <c r="AE127" s="1" t="s">
        <v>28</v>
      </c>
      <c r="AF127" s="1" t="s">
        <v>29</v>
      </c>
      <c r="AG127" s="1" t="s">
        <v>30</v>
      </c>
      <c r="AH127" s="139"/>
    </row>
    <row r="128" spans="1:34" x14ac:dyDescent="0.25">
      <c r="A128" s="24">
        <v>3</v>
      </c>
      <c r="B128" s="9">
        <v>5</v>
      </c>
      <c r="C128" s="9">
        <v>500</v>
      </c>
      <c r="D128" s="9">
        <v>4</v>
      </c>
      <c r="E128" s="48">
        <f>B128*C128/60+D128</f>
        <v>45.666666666666664</v>
      </c>
      <c r="F128" s="14">
        <v>95</v>
      </c>
      <c r="G128" s="49">
        <f>B$5*(1-AD128*C$5)</f>
        <v>0</v>
      </c>
      <c r="H128" s="50">
        <f>G128+E128</f>
        <v>45.666666666666664</v>
      </c>
      <c r="I128" s="15">
        <f>(H128/D$5)^E$5</f>
        <v>5.5463587496332782E-2</v>
      </c>
      <c r="J128" s="15">
        <f>(G128/D$5)^E$5</f>
        <v>0</v>
      </c>
      <c r="K128" s="29">
        <f>1-EXP(J128-I128)</f>
        <v>5.3953529036131931E-2</v>
      </c>
      <c r="L128" s="51">
        <f>B$6*(1-AE128*C$6)</f>
        <v>0</v>
      </c>
      <c r="M128" s="52">
        <f>L128+E128</f>
        <v>45.666666666666664</v>
      </c>
      <c r="N128" s="17">
        <f>(M128/D$6)^E$6</f>
        <v>3.9715434673642101E-2</v>
      </c>
      <c r="O128" s="17">
        <f>(L128/D$6)^E$6</f>
        <v>0</v>
      </c>
      <c r="P128" s="32">
        <f>1-EXP(O128-N128)</f>
        <v>3.8937114582545562E-2</v>
      </c>
      <c r="Q128" s="53">
        <f>B$7*(1-AF128*C$7)</f>
        <v>0</v>
      </c>
      <c r="R128" s="54">
        <f>Q128+E128</f>
        <v>45.666666666666664</v>
      </c>
      <c r="S128" s="16">
        <f>(R128/D$7)^E$7</f>
        <v>6.2425173515745024E-2</v>
      </c>
      <c r="T128" s="16">
        <f>(Q128/D$7)^E$7</f>
        <v>0</v>
      </c>
      <c r="U128" s="35">
        <f>1-EXP(T128-S128)</f>
        <v>6.0516641579816954E-2</v>
      </c>
      <c r="V128" s="55">
        <f>B$8*(1-AG128*C$8)</f>
        <v>0</v>
      </c>
      <c r="W128" s="56">
        <f>V128+E128</f>
        <v>45.666666666666664</v>
      </c>
      <c r="X128" s="18">
        <f>(W128/D$8)^E$8</f>
        <v>3.0803709406480337E-3</v>
      </c>
      <c r="Y128" s="18">
        <f>(V128/D$8)^E$8</f>
        <v>0</v>
      </c>
      <c r="Z128" s="38">
        <f>1-EXP(Y128-X128)</f>
        <v>3.0756314657778283E-3</v>
      </c>
      <c r="AA128" s="41">
        <f>K128*P128*U128*Z128</f>
        <v>3.9101438569080559E-7</v>
      </c>
      <c r="AB128" s="42">
        <f>1-AA128</f>
        <v>0.99999960898561435</v>
      </c>
      <c r="AC128" s="47">
        <f>(AD128*F$5+AE128*F$6+AF128*F$7+AG128*F$8)+E128</f>
        <v>45.666666666666664</v>
      </c>
      <c r="AD128" s="43">
        <v>0</v>
      </c>
      <c r="AE128" s="1">
        <v>0</v>
      </c>
      <c r="AF128" s="1">
        <v>0</v>
      </c>
      <c r="AG128" s="1">
        <v>0</v>
      </c>
      <c r="AH128" s="44">
        <v>67</v>
      </c>
    </row>
    <row r="129" spans="1:34" x14ac:dyDescent="0.25">
      <c r="A129" s="24">
        <v>2</v>
      </c>
      <c r="B129" s="9">
        <v>9</v>
      </c>
      <c r="C129" s="9">
        <v>500</v>
      </c>
      <c r="D129" s="9">
        <v>2</v>
      </c>
      <c r="E129" s="9">
        <f t="shared" ref="E129:E131" si="13">B129*C129/60+D129</f>
        <v>77</v>
      </c>
      <c r="F129" s="14">
        <v>76</v>
      </c>
      <c r="G129" s="49">
        <f>H128*(1-AD129*C$5)</f>
        <v>45.666666666666664</v>
      </c>
      <c r="H129" s="50">
        <f>G129+E129</f>
        <v>122.66666666666666</v>
      </c>
      <c r="I129" s="15">
        <f>(H129/D$5)^E$5</f>
        <v>0.30647715135734394</v>
      </c>
      <c r="J129" s="15">
        <f>(G129/D$5)^E$5</f>
        <v>5.5463587496332782E-2</v>
      </c>
      <c r="K129" s="29">
        <f>1-EXP(J129-I129)</f>
        <v>0.22198818135678478</v>
      </c>
      <c r="L129" s="51">
        <f>M128*(1-AE129*C$6)</f>
        <v>45.666666666666664</v>
      </c>
      <c r="M129" s="52">
        <f>L129+E129</f>
        <v>122.66666666666666</v>
      </c>
      <c r="N129" s="17">
        <f>(M129/D$6)^E$6</f>
        <v>0.25451802994245737</v>
      </c>
      <c r="O129" s="17">
        <f>(L129/D$6)^E$6</f>
        <v>3.9715434673642101E-2</v>
      </c>
      <c r="P129" s="32">
        <f>1-EXP(O129-N129)</f>
        <v>0.19329932901054481</v>
      </c>
      <c r="Q129" s="53">
        <f>R128*(1-AF129*C$7)</f>
        <v>31.966666666666661</v>
      </c>
      <c r="R129" s="54">
        <f>Q129+E129</f>
        <v>108.96666666666667</v>
      </c>
      <c r="S129" s="16">
        <f>(R129/D$7)^E$7</f>
        <v>0.51660313457796569</v>
      </c>
      <c r="T129" s="16">
        <f>(Q129/D$7)^E$7</f>
        <v>2.6239043252001361E-2</v>
      </c>
      <c r="U129" s="35">
        <f>1-EXP(T129-S129)</f>
        <v>0.38759661717104965</v>
      </c>
      <c r="V129" s="55">
        <f>W128*(1-AG129*C$8)</f>
        <v>45.666666666666664</v>
      </c>
      <c r="W129" s="56">
        <f>V129+E129</f>
        <v>122.66666666666666</v>
      </c>
      <c r="X129" s="18">
        <f>(W129/D$8)^E$8</f>
        <v>3.7522776286050503E-2</v>
      </c>
      <c r="Y129" s="18">
        <f>(V129/D$8)^E$8</f>
        <v>3.0803709406480337E-3</v>
      </c>
      <c r="Z129" s="38">
        <f>1-EXP(Y129-X129)</f>
        <v>3.3856017186915555E-2</v>
      </c>
      <c r="AA129" s="41">
        <f>K129*P129*U129*Z129</f>
        <v>5.6308770445509494E-4</v>
      </c>
      <c r="AB129" s="42">
        <f>1-AA129</f>
        <v>0.99943691229554488</v>
      </c>
      <c r="AC129" s="47">
        <f>AF129*F$7+E129+AC128</f>
        <v>130.66666666666666</v>
      </c>
      <c r="AD129" s="43">
        <v>0</v>
      </c>
      <c r="AE129" s="1">
        <v>0</v>
      </c>
      <c r="AF129" s="1">
        <v>1</v>
      </c>
      <c r="AG129" s="1">
        <v>0</v>
      </c>
      <c r="AH129" s="44">
        <v>40</v>
      </c>
    </row>
    <row r="130" spans="1:34" x14ac:dyDescent="0.25">
      <c r="A130" s="57">
        <v>4</v>
      </c>
      <c r="B130" s="58">
        <v>8</v>
      </c>
      <c r="C130" s="58">
        <v>500</v>
      </c>
      <c r="D130" s="58">
        <v>3</v>
      </c>
      <c r="E130" s="66">
        <f t="shared" si="13"/>
        <v>69.666666666666671</v>
      </c>
      <c r="F130" s="67">
        <v>140</v>
      </c>
      <c r="G130" s="68">
        <f>H129*(1-AD130*C$5)</f>
        <v>85.86666666666666</v>
      </c>
      <c r="H130" s="69">
        <f>G130+E130</f>
        <v>155.53333333333333</v>
      </c>
      <c r="I130" s="70">
        <f>(H130/D$5)^E$5</f>
        <v>0.46212106614830967</v>
      </c>
      <c r="J130" s="70">
        <f>(G130/D$5)^E$5</f>
        <v>0.16535514464725598</v>
      </c>
      <c r="K130" s="29">
        <f>1-EXP(J130-I130)</f>
        <v>0.25678203665269694</v>
      </c>
      <c r="L130" s="51">
        <f>M129*(1-AE130*C$6)</f>
        <v>85.86666666666666</v>
      </c>
      <c r="M130" s="52">
        <f>L130+E130</f>
        <v>155.53333333333333</v>
      </c>
      <c r="N130" s="17">
        <f>(M130/D$6)^E$6</f>
        <v>0.39768641404513894</v>
      </c>
      <c r="O130" s="17">
        <f>(L130/D$6)^E$6</f>
        <v>0.13016759122196553</v>
      </c>
      <c r="P130" s="32">
        <f>1-EXP(O130-N130)</f>
        <v>0.23472407416617413</v>
      </c>
      <c r="Q130" s="53">
        <f>R129*(1-AF130*C$7)</f>
        <v>76.276666666666657</v>
      </c>
      <c r="R130" s="54">
        <f>Q130+E130</f>
        <v>145.94333333333333</v>
      </c>
      <c r="S130" s="16">
        <f>(R130/D$7)^E$7</f>
        <v>1.0507543191721929</v>
      </c>
      <c r="T130" s="16">
        <f>(Q130/D$7)^E$7</f>
        <v>0.21714272029843543</v>
      </c>
      <c r="U130" s="35">
        <f>1-EXP(T130-S130)</f>
        <v>0.56552270837399843</v>
      </c>
      <c r="V130" s="55">
        <f>W129*(1-AG130*C$8)</f>
        <v>122.66666666666666</v>
      </c>
      <c r="W130" s="56">
        <f>V130+E130</f>
        <v>192.33333333333331</v>
      </c>
      <c r="X130" s="18">
        <f>(W130/D$8)^E$8</f>
        <v>0.11707786390726449</v>
      </c>
      <c r="Y130" s="18">
        <f>(V130/D$8)^E$8</f>
        <v>3.7522776286050503E-2</v>
      </c>
      <c r="Z130" s="38">
        <f>1-EXP(Y130-X130)</f>
        <v>7.647285634617873E-2</v>
      </c>
      <c r="AA130" s="41">
        <f>K130*P130*U130*Z130</f>
        <v>2.6066314703821086E-3</v>
      </c>
      <c r="AB130" s="42">
        <f>1-AA130</f>
        <v>0.99739336852961791</v>
      </c>
      <c r="AC130" s="47">
        <f>(AF130*F$7)+E130+AC129</f>
        <v>208.33333333333331</v>
      </c>
      <c r="AD130" s="77">
        <v>1</v>
      </c>
      <c r="AE130" s="78">
        <v>1</v>
      </c>
      <c r="AF130" s="78">
        <v>1</v>
      </c>
      <c r="AG130" s="78">
        <v>0</v>
      </c>
      <c r="AH130" s="79">
        <v>85</v>
      </c>
    </row>
    <row r="131" spans="1:34" ht="15.75" thickBot="1" x14ac:dyDescent="0.3">
      <c r="A131" s="76">
        <v>1</v>
      </c>
      <c r="B131" s="58">
        <v>6</v>
      </c>
      <c r="C131" s="58">
        <v>500</v>
      </c>
      <c r="D131" s="58">
        <v>5</v>
      </c>
      <c r="E131" s="66">
        <f t="shared" si="13"/>
        <v>55</v>
      </c>
      <c r="F131" s="67">
        <v>106</v>
      </c>
      <c r="G131" s="68">
        <f>H130*(1-AD131*C$5)</f>
        <v>108.87333333333332</v>
      </c>
      <c r="H131" s="69">
        <f>G131+E131</f>
        <v>163.87333333333333</v>
      </c>
      <c r="I131" s="70">
        <f>(H131/D$5)^E$5</f>
        <v>0.50582522627678017</v>
      </c>
      <c r="J131" s="70">
        <f>(G131/D$5)^E$5</f>
        <v>0.2493304815679428</v>
      </c>
      <c r="K131" s="29">
        <f>1-EXP(J131-I131)</f>
        <v>0.22624093912205778</v>
      </c>
      <c r="L131" s="51">
        <f>M130*(1-AE131*C$6)</f>
        <v>108.87333333333332</v>
      </c>
      <c r="M131" s="52">
        <f>L131+E131</f>
        <v>163.87333333333333</v>
      </c>
      <c r="N131" s="17">
        <f>(M131/D$6)^E$6</f>
        <v>0.43872076836143109</v>
      </c>
      <c r="O131" s="17">
        <f>(L131/D$6)^E$6</f>
        <v>0.20338788018145684</v>
      </c>
      <c r="P131" s="32">
        <f>1-EXP(O131-N131)</f>
        <v>0.20969227826402548</v>
      </c>
      <c r="Q131" s="53">
        <f>R130*(1-AF131*C$7)</f>
        <v>102.16033333333333</v>
      </c>
      <c r="R131" s="54">
        <f>Q131+E131</f>
        <v>157.16033333333331</v>
      </c>
      <c r="S131" s="16">
        <f>(R131/D$7)^E$7</f>
        <v>1.2579019090921277</v>
      </c>
      <c r="T131" s="16">
        <f>(Q131/D$7)^E$7</f>
        <v>0.44166137593566251</v>
      </c>
      <c r="U131" s="35">
        <f>1-EXP(T131-S131)</f>
        <v>0.55790944094757888</v>
      </c>
      <c r="V131" s="55">
        <f>W130*(1-AG131*C$8)</f>
        <v>134.6333333333333</v>
      </c>
      <c r="W131" s="56">
        <f>V131+E131</f>
        <v>189.6333333333333</v>
      </c>
      <c r="X131" s="18">
        <f>(W131/D$8)^E$8</f>
        <v>0.11296421670190253</v>
      </c>
      <c r="Y131" s="18">
        <f>(V131/D$8)^E$8</f>
        <v>4.7486791978556965E-2</v>
      </c>
      <c r="Z131" s="38">
        <f>1-EXP(Y131-X131)</f>
        <v>6.337980901910989E-2</v>
      </c>
      <c r="AA131" s="41">
        <f>K131*P131*U131*Z131</f>
        <v>1.6775221755826583E-3</v>
      </c>
      <c r="AB131" s="42">
        <f>1-AA131</f>
        <v>0.9983224778244173</v>
      </c>
      <c r="AC131" s="47">
        <f>(AF131*F$7)+E131+AC130</f>
        <v>271.33333333333331</v>
      </c>
      <c r="AD131" s="80">
        <v>1</v>
      </c>
      <c r="AE131" s="45">
        <v>1</v>
      </c>
      <c r="AF131" s="81">
        <v>1</v>
      </c>
      <c r="AG131" s="45">
        <v>1</v>
      </c>
      <c r="AH131" s="82">
        <v>110</v>
      </c>
    </row>
    <row r="132" spans="1:34" ht="18.75" x14ac:dyDescent="0.3">
      <c r="A132" s="132" t="s">
        <v>53</v>
      </c>
      <c r="B132" s="132"/>
      <c r="C132" s="132"/>
      <c r="D132" s="132"/>
      <c r="E132" s="132"/>
      <c r="F132" s="132"/>
      <c r="G132" s="132"/>
      <c r="H132" s="132"/>
      <c r="I132" s="132"/>
      <c r="J132" s="132"/>
      <c r="AG132" s="46"/>
    </row>
    <row r="133" spans="1:34" ht="15.75" x14ac:dyDescent="0.25">
      <c r="A133" s="19" t="s">
        <v>54</v>
      </c>
      <c r="B133" s="60" t="s">
        <v>49</v>
      </c>
      <c r="C133" s="61" t="s">
        <v>50</v>
      </c>
      <c r="D133" s="19" t="s">
        <v>48</v>
      </c>
      <c r="E133" s="60" t="s">
        <v>57</v>
      </c>
      <c r="F133" s="61" t="s">
        <v>50</v>
      </c>
      <c r="G133" s="19" t="s">
        <v>82</v>
      </c>
      <c r="H133" s="60" t="s">
        <v>61</v>
      </c>
      <c r="I133" s="61" t="s">
        <v>50</v>
      </c>
      <c r="J133" s="19" t="s">
        <v>58</v>
      </c>
      <c r="K133" s="83" t="s">
        <v>84</v>
      </c>
      <c r="L133" s="61" t="s">
        <v>50</v>
      </c>
      <c r="M133" s="61" t="s">
        <v>85</v>
      </c>
      <c r="O133" s="174" t="s">
        <v>64</v>
      </c>
      <c r="P133" s="174"/>
      <c r="Q133" s="175" t="s">
        <v>109</v>
      </c>
      <c r="R133" s="175"/>
    </row>
    <row r="134" spans="1:34" ht="24.75" x14ac:dyDescent="0.25">
      <c r="A134" s="61" t="s">
        <v>51</v>
      </c>
      <c r="B134" s="1">
        <f>AA128</f>
        <v>3.9101438569080559E-7</v>
      </c>
      <c r="C134" s="59">
        <f>MAX(AC128+1*L121-F128,0)</f>
        <v>0</v>
      </c>
      <c r="D134" s="62" t="s">
        <v>55</v>
      </c>
      <c r="E134" s="1">
        <f>AA128*AA129</f>
        <v>2.2017539284755483E-10</v>
      </c>
      <c r="F134" s="1">
        <f>MAX(AC129+2*L121-F129,0)</f>
        <v>78.666666666666657</v>
      </c>
      <c r="G134" s="62" t="s">
        <v>59</v>
      </c>
      <c r="H134" s="1">
        <f>AA128*AA129*AA130</f>
        <v>5.739161080001802E-13</v>
      </c>
      <c r="I134" s="1">
        <f>AC130+3*L121-F130</f>
        <v>104.33333333333331</v>
      </c>
      <c r="J134" s="62" t="s">
        <v>83</v>
      </c>
      <c r="K134" s="1">
        <f>AA128*AA129*AA130*AA131</f>
        <v>9.6275699809439411E-16</v>
      </c>
      <c r="L134" s="1">
        <f>AC131+4*L121-F131</f>
        <v>213.33333333333331</v>
      </c>
      <c r="M134" s="1">
        <f>B134*C134*AH128+E134*F134*AH129+H134*I134*AH130+K134*L134*AH131</f>
        <v>6.9793084154230933E-7</v>
      </c>
      <c r="O134" s="1" t="s">
        <v>27</v>
      </c>
      <c r="P134" s="1">
        <f>2*H119</f>
        <v>3640</v>
      </c>
      <c r="Q134" s="1">
        <f>(K128*(1-P128)*(1-U128)*(1-Z128))+(P128*(1-K128)*(1-U128)*(1-Z128))+(U128*(1-K128)*(1-P128)*(1-Z128))+(Z128*(1-K128)*(1-P128)*(1-U128))</f>
        <v>0.1405459062810282</v>
      </c>
      <c r="R134" s="1">
        <f>Q134*(L$7*(J$5*K$5+L$5)+I$5)</f>
        <v>4953.5404668748388</v>
      </c>
    </row>
    <row r="135" spans="1:34" ht="24.75" x14ac:dyDescent="0.25">
      <c r="A135" s="62" t="s">
        <v>52</v>
      </c>
      <c r="B135" s="1">
        <f>AB128</f>
        <v>0.99999960898561435</v>
      </c>
      <c r="C135" s="59">
        <f>MAX(AC128-F128,0)</f>
        <v>0</v>
      </c>
      <c r="D135" s="62" t="s">
        <v>56</v>
      </c>
      <c r="E135" s="1">
        <f>AA128*AB129+AA129*AB128</f>
        <v>5.6347827849000012E-4</v>
      </c>
      <c r="F135" s="1">
        <f>MAX(AC129+1*L121-F129,0)</f>
        <v>66.666666666666657</v>
      </c>
      <c r="G135" s="62" t="s">
        <v>60</v>
      </c>
      <c r="H135" s="1">
        <f>AA128*AA129*AB130+AA129*AA130*AB128+AA128*AA130*AB129</f>
        <v>1.4689998150655079E-6</v>
      </c>
      <c r="I135" s="1">
        <f>AC130+2*L121-F130</f>
        <v>92.333333333333314</v>
      </c>
      <c r="J135" s="62" t="s">
        <v>59</v>
      </c>
      <c r="K135">
        <f>AB128*AA129*AA130*AA131+AB129*AA128*AA130*AA131*+AB130*AA128*AA129*AA131+AB131*AA128*AA129*AA130</f>
        <v>2.4627755138569415E-9</v>
      </c>
      <c r="L135" s="1">
        <f>AC131+3*L121-F131</f>
        <v>201.33333333333331</v>
      </c>
      <c r="M135" s="1">
        <f>B135*C135*AH128+E135*F135*AH129+H135*I135*AH130+K135*L135*AH131</f>
        <v>1.5141924851236195</v>
      </c>
      <c r="O135" s="1" t="s">
        <v>28</v>
      </c>
      <c r="P135" s="1">
        <f>2*H120</f>
        <v>5440</v>
      </c>
      <c r="Q135" s="1">
        <f t="shared" ref="Q135:Q137" si="14">(K129*(1-P129)*(1-U129)*(1-Z129))+(P129*(1-K129)*(1-U129)*(1-Z129))+(U129*(1-K129)*(1-P129)*(1-Z129))+(Z129*(1-K129)*(1-P129)*(1-U129))</f>
        <v>0.44297708637720112</v>
      </c>
      <c r="R135" s="1">
        <f t="shared" ref="R135:R137" si="15">Q135*(L$7*(J$5*K$5+L$5)+I$5)</f>
        <v>15612.727409364454</v>
      </c>
    </row>
    <row r="136" spans="1:34" ht="24.75" x14ac:dyDescent="0.25">
      <c r="A136" s="1"/>
      <c r="B136" s="1"/>
      <c r="C136" s="1"/>
      <c r="D136" s="62" t="s">
        <v>52</v>
      </c>
      <c r="E136" s="1">
        <f>AB128*AB129</f>
        <v>0.99943652150133466</v>
      </c>
      <c r="F136" s="59">
        <f>MAX(AC129-F129,0)</f>
        <v>54.666666666666657</v>
      </c>
      <c r="G136" s="62" t="s">
        <v>56</v>
      </c>
      <c r="H136" s="1">
        <f>AA128*AB129*AB130+AA129*AB128*AB130*+AA130*AB128*AB129</f>
        <v>1.8528863011883374E-6</v>
      </c>
      <c r="I136" s="1">
        <f>AC130+1*L121-F130</f>
        <v>80.333333333333314</v>
      </c>
      <c r="J136" s="62" t="s">
        <v>60</v>
      </c>
      <c r="K136" s="1">
        <f>AA128*AA129*AB130*AB131 + AA128*AA130*AB129*AB131 + AA128*AA131*AB129*AB130 + AA129*AA130*AB128*AB131 + AA129*AA131*AB128*AB130 + AA130*AA131*AB128*AB129</f>
        <v>6.7795371143420817E-6</v>
      </c>
      <c r="L136" s="1">
        <f>AC131+2*L121-F131</f>
        <v>189.33333333333331</v>
      </c>
      <c r="M136" s="1">
        <f>B136*C136*AH128+E136*F136*AH129+H136*I136*AH130+K136*L136*AH131</f>
        <v>2185.5883743011791</v>
      </c>
      <c r="O136" s="1" t="s">
        <v>29</v>
      </c>
      <c r="P136" s="1">
        <f>3*(F121*(J119*K119+L119)+H121)</f>
        <v>42300</v>
      </c>
      <c r="Q136" s="1">
        <f t="shared" si="14"/>
        <v>0.46479908722601426</v>
      </c>
      <c r="R136" s="1">
        <f t="shared" si="15"/>
        <v>16381.843829280873</v>
      </c>
    </row>
    <row r="137" spans="1:34" ht="24.75" x14ac:dyDescent="0.25">
      <c r="A137" s="1"/>
      <c r="B137" s="1"/>
      <c r="C137" s="1"/>
      <c r="D137" s="1"/>
      <c r="E137" s="1"/>
      <c r="F137" s="1"/>
      <c r="G137" s="62" t="s">
        <v>52</v>
      </c>
      <c r="H137" s="1">
        <f>AB128*AB129*AB130</f>
        <v>0.99683135881174012</v>
      </c>
      <c r="I137" s="63">
        <f>AC130-F130</f>
        <v>68.333333333333314</v>
      </c>
      <c r="J137" s="62" t="s">
        <v>56</v>
      </c>
      <c r="K137" s="1">
        <f>AA128*AB129*AB130*AB131+AA129*AB128*AB130*AB131+AA130*AB128*AB129*AB131+AA131*AB128*AB129*AB130</f>
        <v>4.8340658960148598E-3</v>
      </c>
      <c r="L137" s="1">
        <f>AC131+1*L121-F131</f>
        <v>177.33333333333331</v>
      </c>
      <c r="M137" s="1">
        <f>B137*C137*AH128+E137*F137*AH129+H137*I137*AH130+K137*L137*AH131</f>
        <v>5884.2253211764519</v>
      </c>
      <c r="O137" s="1" t="s">
        <v>30</v>
      </c>
      <c r="P137" s="1">
        <f>1*H122</f>
        <v>4320</v>
      </c>
      <c r="Q137" s="1">
        <f t="shared" si="14"/>
        <v>0.47789654978289703</v>
      </c>
      <c r="R137" s="1">
        <f t="shared" si="15"/>
        <v>16843.463897098205</v>
      </c>
    </row>
    <row r="138" spans="1:34" ht="30" x14ac:dyDescent="0.25">
      <c r="I138" s="84"/>
      <c r="J138" s="62" t="s">
        <v>52</v>
      </c>
      <c r="K138" s="85">
        <f>AB128*AB129*AB130*AB131</f>
        <v>0.99515915210201722</v>
      </c>
      <c r="L138" s="1">
        <f>AC131+0*L121-F131</f>
        <v>165.33333333333331</v>
      </c>
      <c r="M138" s="1">
        <f>B138*C138*AH128+E138*F138*AH129+H138*I138*AH130+K138*L138*AH131</f>
        <v>18098.627779562019</v>
      </c>
      <c r="O138" s="64" t="s">
        <v>65</v>
      </c>
      <c r="P138" s="65">
        <f>SUM(P134:P137)</f>
        <v>55700</v>
      </c>
      <c r="Q138" s="96" t="s">
        <v>108</v>
      </c>
      <c r="R138" s="97">
        <f>SUM(R134:R137)</f>
        <v>53791.575602618374</v>
      </c>
    </row>
    <row r="139" spans="1:34" x14ac:dyDescent="0.25">
      <c r="L139" s="176" t="s">
        <v>63</v>
      </c>
      <c r="M139" s="177">
        <f>SUM(M134:M138)</f>
        <v>26169.955668222705</v>
      </c>
    </row>
    <row r="140" spans="1:34" x14ac:dyDescent="0.25">
      <c r="L140" s="176"/>
      <c r="M140" s="177"/>
    </row>
    <row r="141" spans="1:34" x14ac:dyDescent="0.25">
      <c r="A141" s="178" t="s">
        <v>90</v>
      </c>
      <c r="B141" s="178"/>
      <c r="C141" s="178"/>
      <c r="D141" s="178"/>
      <c r="E141" s="178"/>
      <c r="F141" s="178"/>
      <c r="G141" s="178"/>
      <c r="H141" s="178"/>
      <c r="I141" s="178"/>
      <c r="J141" s="178"/>
      <c r="K141" s="178"/>
      <c r="L141" s="178"/>
      <c r="M141" s="178"/>
      <c r="N141" s="178"/>
    </row>
    <row r="142" spans="1:34" ht="15.75" x14ac:dyDescent="0.25">
      <c r="A142" s="87" t="s">
        <v>76</v>
      </c>
      <c r="B142" s="62" t="s">
        <v>49</v>
      </c>
      <c r="C142" s="90" t="s">
        <v>102</v>
      </c>
      <c r="D142" s="62" t="s">
        <v>88</v>
      </c>
      <c r="E142" s="87" t="s">
        <v>75</v>
      </c>
      <c r="F142" s="62" t="s">
        <v>57</v>
      </c>
      <c r="G142" s="90" t="s">
        <v>87</v>
      </c>
      <c r="H142" s="62" t="s">
        <v>88</v>
      </c>
      <c r="I142" s="87" t="s">
        <v>86</v>
      </c>
      <c r="J142" s="62" t="s">
        <v>61</v>
      </c>
      <c r="K142" s="90" t="s">
        <v>103</v>
      </c>
      <c r="L142" s="62" t="s">
        <v>88</v>
      </c>
      <c r="M142" s="87" t="s">
        <v>77</v>
      </c>
      <c r="N142" s="62" t="s">
        <v>84</v>
      </c>
      <c r="O142" s="90" t="s">
        <v>78</v>
      </c>
      <c r="P142" s="62" t="s">
        <v>88</v>
      </c>
    </row>
    <row r="143" spans="1:34" ht="24.75" x14ac:dyDescent="0.25">
      <c r="A143" s="62" t="s">
        <v>51</v>
      </c>
      <c r="B143" s="86">
        <v>3.9101438569080559E-7</v>
      </c>
      <c r="C143" s="86">
        <f>AC128+1*L121</f>
        <v>57.666666666666664</v>
      </c>
      <c r="D143" s="86">
        <f>MAX(B143*1.5*((C143-F128)*500/2),0)</f>
        <v>0</v>
      </c>
      <c r="E143" s="62" t="s">
        <v>55</v>
      </c>
      <c r="F143" s="86">
        <v>2.2017539284755483E-10</v>
      </c>
      <c r="G143" s="86">
        <f>AC129+2*L121</f>
        <v>154.66666666666666</v>
      </c>
      <c r="H143" s="86">
        <f>F143*1.5*((G143-F129)*500/2+(G143-F130)*500 + (G143-F131)*500)</f>
        <v>1.6953505249261718E-5</v>
      </c>
      <c r="I143" s="62" t="s">
        <v>59</v>
      </c>
      <c r="J143" s="86">
        <v>5.739161080001802E-13</v>
      </c>
      <c r="K143" s="86">
        <f>AC130+3*L121</f>
        <v>244.33333333333331</v>
      </c>
      <c r="L143" s="86">
        <f>J143*1.5*((K143-G143)*500/2+(K143-G143)*500)</f>
        <v>5.7893787394518179E-8</v>
      </c>
      <c r="M143" s="62" t="s">
        <v>83</v>
      </c>
      <c r="N143" s="86">
        <v>9.6275699809439411E-16</v>
      </c>
      <c r="O143" s="86">
        <f>AC131+4*L121</f>
        <v>319.33333333333331</v>
      </c>
      <c r="P143" s="86">
        <f>N143*1.5*((O143-K143)*500/2)</f>
        <v>2.7077540571404835E-11</v>
      </c>
    </row>
    <row r="144" spans="1:34" ht="24.75" x14ac:dyDescent="0.25">
      <c r="A144" s="62" t="s">
        <v>52</v>
      </c>
      <c r="B144" s="86">
        <v>0.99999960898561435</v>
      </c>
      <c r="C144" s="88">
        <f>AC128</f>
        <v>45.666666666666664</v>
      </c>
      <c r="D144" s="86">
        <f>MAX(B144*1.5*((C144-F128)*500/2),0)</f>
        <v>0</v>
      </c>
      <c r="E144" s="62" t="s">
        <v>56</v>
      </c>
      <c r="F144" s="86">
        <v>5.6347827849000012E-4</v>
      </c>
      <c r="G144" s="86">
        <f>AC129+1*L121</f>
        <v>142.66666666666666</v>
      </c>
      <c r="H144" s="86">
        <f>F144*1.5*((G144-F129)*500/2+(G144-F130)*500+(G144-F131)*500)</f>
        <v>30.709566177704993</v>
      </c>
      <c r="I144" s="62" t="s">
        <v>60</v>
      </c>
      <c r="J144" s="86">
        <v>1.4689998150655079E-6</v>
      </c>
      <c r="K144" s="86">
        <f>AC130+2*L121</f>
        <v>232.33333333333331</v>
      </c>
      <c r="L144" s="86">
        <f>J144*1.5*((K144-G144)*500/2+(K144-G144)*500)</f>
        <v>0.14818535634473309</v>
      </c>
      <c r="M144" s="62" t="s">
        <v>59</v>
      </c>
      <c r="N144" s="86">
        <v>2.4627755138569415E-9</v>
      </c>
      <c r="O144" s="86">
        <f>AC131+3*L121</f>
        <v>307.33333333333331</v>
      </c>
      <c r="P144" s="86">
        <f>N144*1.5*((O144-K144)*500/2)</f>
        <v>6.926556132722649E-5</v>
      </c>
    </row>
    <row r="145" spans="1:22" x14ac:dyDescent="0.25">
      <c r="A145" s="86"/>
      <c r="B145" s="86"/>
      <c r="C145" s="89" t="s">
        <v>89</v>
      </c>
      <c r="D145" s="89">
        <f>SUM(D143:D144)</f>
        <v>0</v>
      </c>
      <c r="E145" s="62" t="s">
        <v>52</v>
      </c>
      <c r="F145" s="86">
        <v>0.99943652150133466</v>
      </c>
      <c r="G145" s="86">
        <f>AC129+0*L121</f>
        <v>130.66666666666666</v>
      </c>
      <c r="H145" s="86">
        <f>F145*1.5*((G145-F129)*500/2+(G145-F131)*500)</f>
        <v>38978.024338552037</v>
      </c>
      <c r="I145" s="62" t="s">
        <v>56</v>
      </c>
      <c r="J145" s="86">
        <v>1.8528863011883374E-6</v>
      </c>
      <c r="K145" s="86">
        <f>AC130+1*L121</f>
        <v>220.33333333333331</v>
      </c>
      <c r="L145" s="86">
        <f>J145*1.5*((K145-F130)*500/2+(K145-G145)*500)</f>
        <v>0.18042480357821433</v>
      </c>
      <c r="M145" s="62" t="s">
        <v>60</v>
      </c>
      <c r="N145" s="86">
        <v>6.7795371143420817E-6</v>
      </c>
      <c r="O145" s="86">
        <f>AC131+2*L121</f>
        <v>295.33333333333331</v>
      </c>
      <c r="P145" s="86">
        <f>N145*1.5*((O145-K145)*500/2)</f>
        <v>0.19067448134087106</v>
      </c>
    </row>
    <row r="146" spans="1:22" x14ac:dyDescent="0.25">
      <c r="A146" s="86"/>
      <c r="B146" s="86"/>
      <c r="C146" s="86"/>
      <c r="D146" s="86"/>
      <c r="E146" s="86"/>
      <c r="F146" s="86"/>
      <c r="G146" s="89" t="s">
        <v>79</v>
      </c>
      <c r="H146" s="89">
        <f>SUM(H143:H145)</f>
        <v>39008.733921683248</v>
      </c>
      <c r="I146" s="62" t="s">
        <v>52</v>
      </c>
      <c r="J146" s="86">
        <v>0.99683135881174012</v>
      </c>
      <c r="K146" s="86">
        <f>AC130+0*L121</f>
        <v>208.33333333333331</v>
      </c>
      <c r="L146" s="86">
        <f>J146*1.5*((K146-G130)*500/2+(K146-G145)*500)</f>
        <v>103844.90680421302</v>
      </c>
      <c r="M146" s="62" t="s">
        <v>56</v>
      </c>
      <c r="N146" s="86">
        <v>4.8340658960148598E-3</v>
      </c>
      <c r="O146" s="86">
        <f>AC131+1*L121</f>
        <v>283.33333333333331</v>
      </c>
      <c r="P146" s="86">
        <f>N146*1.5*((O146-K146)*500/2)</f>
        <v>135.95810332541794</v>
      </c>
    </row>
    <row r="147" spans="1:22" x14ac:dyDescent="0.25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9" t="s">
        <v>79</v>
      </c>
      <c r="L147" s="89">
        <f>SUM(L143:L146)</f>
        <v>103845.23541443083</v>
      </c>
      <c r="M147" s="62" t="s">
        <v>52</v>
      </c>
      <c r="N147" s="86">
        <v>0.99515915210201722</v>
      </c>
      <c r="O147" s="86">
        <f>AC131+0*L121</f>
        <v>271.33333333333331</v>
      </c>
      <c r="P147" s="86">
        <f>N147*1.5*((O147-K146)*500/2)</f>
        <v>23510.634968410155</v>
      </c>
      <c r="Q147" s="179" t="s">
        <v>80</v>
      </c>
      <c r="R147" s="179"/>
      <c r="S147" s="180">
        <f>D145+H146+L147+P148</f>
        <v>166500.75315159658</v>
      </c>
      <c r="T147" s="180"/>
    </row>
    <row r="148" spans="1:22" x14ac:dyDescent="0.25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9" t="s">
        <v>79</v>
      </c>
      <c r="P148" s="89">
        <f>SUM(P143:P147)</f>
        <v>23646.783815482504</v>
      </c>
      <c r="Q148" s="179"/>
      <c r="R148" s="179"/>
      <c r="S148" s="180"/>
      <c r="T148" s="180"/>
    </row>
    <row r="149" spans="1:22" x14ac:dyDescent="0.25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</row>
    <row r="150" spans="1:22" x14ac:dyDescent="0.25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</row>
    <row r="151" spans="1:22" x14ac:dyDescent="0.25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</row>
    <row r="152" spans="1:22" ht="24.75" thickBot="1" x14ac:dyDescent="0.3">
      <c r="O152" s="131" t="s">
        <v>81</v>
      </c>
      <c r="P152" s="131"/>
      <c r="Q152" s="131">
        <f>(R138+P138+M139+S147)/AC131</f>
        <v>1113.6202128591069</v>
      </c>
      <c r="R152" s="131"/>
    </row>
    <row r="153" spans="1:22" x14ac:dyDescent="0.25">
      <c r="A153" s="181" t="s">
        <v>95</v>
      </c>
      <c r="B153" s="182"/>
    </row>
    <row r="154" spans="1:22" ht="15.75" thickBot="1" x14ac:dyDescent="0.3">
      <c r="A154" s="183"/>
      <c r="B154" s="184"/>
    </row>
    <row r="155" spans="1:22" ht="21" x14ac:dyDescent="0.35">
      <c r="A155" s="185" t="s">
        <v>14</v>
      </c>
      <c r="B155" s="185"/>
      <c r="C155" s="165"/>
      <c r="D155" s="165"/>
      <c r="E155" s="165"/>
      <c r="F155" s="165"/>
      <c r="G155" s="165"/>
      <c r="H155" s="165"/>
      <c r="I155" s="165"/>
      <c r="J155" s="165"/>
      <c r="K155" s="165"/>
      <c r="L155" s="165"/>
      <c r="M155" s="165"/>
      <c r="O155" s="166" t="s">
        <v>72</v>
      </c>
      <c r="P155" s="166"/>
      <c r="Q155" s="166"/>
      <c r="R155" s="166"/>
      <c r="S155" s="166"/>
      <c r="T155" s="166"/>
      <c r="U155" s="166"/>
      <c r="V155" s="166"/>
    </row>
    <row r="156" spans="1:22" ht="36" x14ac:dyDescent="0.25">
      <c r="A156" s="4" t="s">
        <v>15</v>
      </c>
      <c r="B156" s="4" t="s">
        <v>16</v>
      </c>
      <c r="C156" s="4" t="s">
        <v>31</v>
      </c>
      <c r="D156" s="6" t="s">
        <v>17</v>
      </c>
      <c r="E156" s="6" t="s">
        <v>18</v>
      </c>
      <c r="F156" s="6" t="s">
        <v>19</v>
      </c>
      <c r="G156" s="6" t="s">
        <v>20</v>
      </c>
      <c r="H156" s="6" t="s">
        <v>21</v>
      </c>
      <c r="I156" s="6" t="s">
        <v>22</v>
      </c>
      <c r="J156" s="6" t="s">
        <v>23</v>
      </c>
      <c r="K156" s="6" t="s">
        <v>24</v>
      </c>
      <c r="L156" s="6" t="s">
        <v>25</v>
      </c>
      <c r="M156" s="6" t="s">
        <v>26</v>
      </c>
      <c r="N156" s="8"/>
      <c r="O156" s="167" t="s">
        <v>32</v>
      </c>
      <c r="P156" s="167" t="s">
        <v>35</v>
      </c>
      <c r="Q156" s="167" t="s">
        <v>66</v>
      </c>
      <c r="R156" s="91" t="s">
        <v>67</v>
      </c>
      <c r="S156" s="91" t="s">
        <v>68</v>
      </c>
      <c r="T156" s="167" t="s">
        <v>69</v>
      </c>
      <c r="U156" s="71" t="s">
        <v>33</v>
      </c>
      <c r="V156" s="91" t="s">
        <v>70</v>
      </c>
    </row>
    <row r="157" spans="1:22" x14ac:dyDescent="0.25">
      <c r="A157" s="3" t="s">
        <v>27</v>
      </c>
      <c r="B157" s="3">
        <v>0</v>
      </c>
      <c r="C157" s="3">
        <v>0.3</v>
      </c>
      <c r="D157" s="3">
        <v>243</v>
      </c>
      <c r="E157" s="3">
        <v>1.73</v>
      </c>
      <c r="F157" s="3">
        <v>5</v>
      </c>
      <c r="G157" s="169">
        <v>12</v>
      </c>
      <c r="H157" s="3">
        <v>1820</v>
      </c>
      <c r="I157" s="169">
        <v>19645</v>
      </c>
      <c r="J157" s="3">
        <v>20</v>
      </c>
      <c r="K157" s="3">
        <v>40</v>
      </c>
      <c r="L157" s="3">
        <v>500</v>
      </c>
      <c r="M157" s="3">
        <v>1000</v>
      </c>
      <c r="O157" s="168"/>
      <c r="P157" s="168"/>
      <c r="Q157" s="168"/>
      <c r="R157" s="72" t="s">
        <v>71</v>
      </c>
      <c r="S157" s="72" t="s">
        <v>71</v>
      </c>
      <c r="T157" s="168"/>
      <c r="U157" s="73">
        <v>500</v>
      </c>
      <c r="V157" s="3">
        <v>1.5</v>
      </c>
    </row>
    <row r="158" spans="1:22" x14ac:dyDescent="0.25">
      <c r="A158" s="3" t="s">
        <v>28</v>
      </c>
      <c r="B158" s="3">
        <v>0</v>
      </c>
      <c r="C158" s="3">
        <v>0.3</v>
      </c>
      <c r="D158" s="3">
        <v>254</v>
      </c>
      <c r="E158" s="3">
        <v>1.88</v>
      </c>
      <c r="F158" s="3">
        <v>3</v>
      </c>
      <c r="G158" s="170"/>
      <c r="H158" s="3">
        <v>2720</v>
      </c>
      <c r="I158" s="170"/>
      <c r="J158" s="5"/>
      <c r="K158" s="5"/>
      <c r="L158" s="5"/>
      <c r="M158" s="5"/>
      <c r="O158" s="74">
        <v>1</v>
      </c>
      <c r="P158" s="74">
        <v>106</v>
      </c>
      <c r="Q158" s="74">
        <v>110</v>
      </c>
      <c r="R158" s="74">
        <v>6</v>
      </c>
      <c r="S158" s="74">
        <v>5</v>
      </c>
      <c r="T158" s="74">
        <f>R158*$U$5/60+S158</f>
        <v>55</v>
      </c>
      <c r="U158" s="75"/>
    </row>
    <row r="159" spans="1:22" x14ac:dyDescent="0.25">
      <c r="A159" s="3" t="s">
        <v>29</v>
      </c>
      <c r="B159" s="3">
        <v>0</v>
      </c>
      <c r="C159" s="3">
        <v>0.3</v>
      </c>
      <c r="D159" s="3">
        <v>143</v>
      </c>
      <c r="E159" s="3">
        <v>2.4300000000000002</v>
      </c>
      <c r="F159" s="3">
        <v>8</v>
      </c>
      <c r="G159" s="170"/>
      <c r="H159" s="3">
        <v>3700</v>
      </c>
      <c r="I159" s="170"/>
      <c r="J159" s="5"/>
      <c r="K159" s="140" t="s">
        <v>73</v>
      </c>
      <c r="L159" s="141">
        <v>12</v>
      </c>
      <c r="M159" s="140" t="s">
        <v>74</v>
      </c>
      <c r="N159" s="141">
        <v>19645</v>
      </c>
      <c r="O159" s="74">
        <v>2</v>
      </c>
      <c r="P159" s="74">
        <v>76</v>
      </c>
      <c r="Q159" s="74">
        <v>40</v>
      </c>
      <c r="R159" s="74">
        <v>9</v>
      </c>
      <c r="S159" s="74">
        <v>2</v>
      </c>
      <c r="T159" s="74">
        <f t="shared" ref="T159:T161" si="16">R159*$U$5/60+S159</f>
        <v>77</v>
      </c>
      <c r="U159" s="75"/>
    </row>
    <row r="160" spans="1:22" x14ac:dyDescent="0.25">
      <c r="A160" s="3" t="s">
        <v>30</v>
      </c>
      <c r="B160" s="3">
        <v>0</v>
      </c>
      <c r="C160" s="3">
        <v>0.3</v>
      </c>
      <c r="D160" s="3">
        <v>449</v>
      </c>
      <c r="E160" s="3">
        <v>2.5299999999999998</v>
      </c>
      <c r="F160" s="3">
        <v>4</v>
      </c>
      <c r="G160" s="171"/>
      <c r="H160" s="3">
        <v>4320</v>
      </c>
      <c r="I160" s="171"/>
      <c r="J160" s="5"/>
      <c r="K160" s="140"/>
      <c r="L160" s="141"/>
      <c r="M160" s="140"/>
      <c r="N160" s="141"/>
      <c r="O160" s="74">
        <v>3</v>
      </c>
      <c r="P160" s="74">
        <v>95</v>
      </c>
      <c r="Q160" s="74">
        <v>67</v>
      </c>
      <c r="R160" s="74">
        <v>5</v>
      </c>
      <c r="S160" s="74">
        <v>4</v>
      </c>
      <c r="T160" s="74">
        <f t="shared" si="16"/>
        <v>45.666666666666664</v>
      </c>
      <c r="U160" s="75"/>
    </row>
    <row r="161" spans="1:34" ht="15.75" thickBo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O161" s="74">
        <v>4</v>
      </c>
      <c r="P161" s="74">
        <v>140</v>
      </c>
      <c r="Q161" s="94">
        <v>85</v>
      </c>
      <c r="R161" s="94">
        <v>8</v>
      </c>
      <c r="S161" s="94">
        <v>3</v>
      </c>
      <c r="T161" s="74">
        <f t="shared" si="16"/>
        <v>69.666666666666671</v>
      </c>
    </row>
    <row r="162" spans="1:34" x14ac:dyDescent="0.25">
      <c r="A162" s="142" t="s">
        <v>36</v>
      </c>
      <c r="B162" s="144" t="s">
        <v>106</v>
      </c>
      <c r="C162" s="144"/>
      <c r="D162" s="144"/>
      <c r="E162" s="144"/>
      <c r="F162" s="20" t="s">
        <v>27</v>
      </c>
      <c r="G162" s="20" t="s">
        <v>28</v>
      </c>
      <c r="H162" s="20" t="s">
        <v>29</v>
      </c>
      <c r="I162" s="20" t="s">
        <v>30</v>
      </c>
    </row>
    <row r="163" spans="1:34" ht="15.75" thickBot="1" x14ac:dyDescent="0.3">
      <c r="A163" s="143"/>
      <c r="B163" s="145"/>
      <c r="C163" s="145"/>
      <c r="D163" s="145"/>
      <c r="E163" s="145"/>
      <c r="F163" s="20">
        <v>126</v>
      </c>
      <c r="G163" s="26">
        <v>91</v>
      </c>
      <c r="H163" s="26">
        <v>67</v>
      </c>
      <c r="I163" s="26">
        <v>201</v>
      </c>
    </row>
    <row r="164" spans="1:34" ht="15.75" thickBot="1" x14ac:dyDescent="0.3">
      <c r="A164" s="143"/>
      <c r="B164" s="145"/>
      <c r="C164" s="145"/>
      <c r="D164" s="145"/>
      <c r="E164" s="145"/>
      <c r="F164" s="7"/>
      <c r="G164" s="146" t="s">
        <v>27</v>
      </c>
      <c r="H164" s="147"/>
      <c r="I164" s="147"/>
      <c r="J164" s="147"/>
      <c r="K164" s="148"/>
      <c r="L164" s="149" t="s">
        <v>28</v>
      </c>
      <c r="M164" s="150"/>
      <c r="N164" s="150"/>
      <c r="O164" s="150"/>
      <c r="P164" s="151"/>
      <c r="Q164" s="152" t="s">
        <v>29</v>
      </c>
      <c r="R164" s="153"/>
      <c r="S164" s="153"/>
      <c r="T164" s="153"/>
      <c r="U164" s="154"/>
      <c r="V164" s="155" t="s">
        <v>30</v>
      </c>
      <c r="W164" s="156"/>
      <c r="X164" s="156"/>
      <c r="Y164" s="156"/>
      <c r="Z164" s="157"/>
      <c r="AA164" s="158" t="s">
        <v>42</v>
      </c>
      <c r="AB164" s="159"/>
      <c r="AC164" s="160" t="s">
        <v>44</v>
      </c>
      <c r="AD164" s="162" t="s">
        <v>47</v>
      </c>
      <c r="AE164" s="163"/>
      <c r="AF164" s="163"/>
      <c r="AG164" s="164"/>
      <c r="AH164" s="138" t="s">
        <v>62</v>
      </c>
    </row>
    <row r="165" spans="1:34" ht="36.75" x14ac:dyDescent="0.25">
      <c r="A165" s="21" t="s">
        <v>32</v>
      </c>
      <c r="B165" s="22" t="s">
        <v>37</v>
      </c>
      <c r="C165" s="23" t="s">
        <v>33</v>
      </c>
      <c r="D165" s="22" t="s">
        <v>38</v>
      </c>
      <c r="E165" s="22" t="s">
        <v>34</v>
      </c>
      <c r="F165" s="25" t="s">
        <v>35</v>
      </c>
      <c r="G165" s="27" t="s">
        <v>39</v>
      </c>
      <c r="H165" s="10" t="s">
        <v>40</v>
      </c>
      <c r="I165" s="10" t="s">
        <v>45</v>
      </c>
      <c r="J165" s="10" t="s">
        <v>46</v>
      </c>
      <c r="K165" s="28" t="s">
        <v>41</v>
      </c>
      <c r="L165" s="30" t="s">
        <v>39</v>
      </c>
      <c r="M165" s="13" t="s">
        <v>40</v>
      </c>
      <c r="N165" s="13" t="s">
        <v>45</v>
      </c>
      <c r="O165" s="13" t="s">
        <v>46</v>
      </c>
      <c r="P165" s="31" t="s">
        <v>41</v>
      </c>
      <c r="Q165" s="33" t="s">
        <v>39</v>
      </c>
      <c r="R165" s="12" t="s">
        <v>40</v>
      </c>
      <c r="S165" s="12" t="s">
        <v>45</v>
      </c>
      <c r="T165" s="12" t="s">
        <v>46</v>
      </c>
      <c r="U165" s="34" t="s">
        <v>41</v>
      </c>
      <c r="V165" s="36" t="s">
        <v>39</v>
      </c>
      <c r="W165" s="11" t="s">
        <v>40</v>
      </c>
      <c r="X165" s="11" t="s">
        <v>45</v>
      </c>
      <c r="Y165" s="11" t="s">
        <v>46</v>
      </c>
      <c r="Z165" s="37" t="s">
        <v>41</v>
      </c>
      <c r="AA165" s="39" t="s">
        <v>41</v>
      </c>
      <c r="AB165" s="40" t="s">
        <v>43</v>
      </c>
      <c r="AC165" s="161"/>
      <c r="AD165" s="43" t="s">
        <v>27</v>
      </c>
      <c r="AE165" s="1" t="s">
        <v>28</v>
      </c>
      <c r="AF165" s="1" t="s">
        <v>29</v>
      </c>
      <c r="AG165" s="1" t="s">
        <v>30</v>
      </c>
      <c r="AH165" s="139"/>
    </row>
    <row r="166" spans="1:34" x14ac:dyDescent="0.25">
      <c r="A166" s="24">
        <v>3</v>
      </c>
      <c r="B166" s="9">
        <v>5</v>
      </c>
      <c r="C166" s="9">
        <v>500</v>
      </c>
      <c r="D166" s="9">
        <v>4</v>
      </c>
      <c r="E166" s="48">
        <f>B166*C166/60+D166</f>
        <v>45.666666666666664</v>
      </c>
      <c r="F166" s="14">
        <v>95</v>
      </c>
      <c r="G166" s="49">
        <f>B$5*(1-AD166*C$5)</f>
        <v>0</v>
      </c>
      <c r="H166" s="50">
        <f>G166+E166</f>
        <v>45.666666666666664</v>
      </c>
      <c r="I166" s="15">
        <f>(H166/D$5)^E$5</f>
        <v>5.5463587496332782E-2</v>
      </c>
      <c r="J166" s="15">
        <f>(G166/D$5)^E$5</f>
        <v>0</v>
      </c>
      <c r="K166" s="29">
        <f>1-EXP(J166-I166)</f>
        <v>5.3953529036131931E-2</v>
      </c>
      <c r="L166" s="51">
        <f>B$6*(1-AE166*C$6)</f>
        <v>0</v>
      </c>
      <c r="M166" s="52">
        <f>L166+E166</f>
        <v>45.666666666666664</v>
      </c>
      <c r="N166" s="17">
        <f>(M166/D$6)^E$6</f>
        <v>3.9715434673642101E-2</v>
      </c>
      <c r="O166" s="17">
        <f>(L166/D$6)^E$6</f>
        <v>0</v>
      </c>
      <c r="P166" s="32">
        <f>1-EXP(O166-N166)</f>
        <v>3.8937114582545562E-2</v>
      </c>
      <c r="Q166" s="53">
        <f>B$7*(1-AF166*C$7)</f>
        <v>0</v>
      </c>
      <c r="R166" s="54">
        <f>Q166+E166</f>
        <v>45.666666666666664</v>
      </c>
      <c r="S166" s="16">
        <f>(R166/D$7)^E$7</f>
        <v>6.2425173515745024E-2</v>
      </c>
      <c r="T166" s="16">
        <f>(Q166/D$7)^E$7</f>
        <v>0</v>
      </c>
      <c r="U166" s="35">
        <f>1-EXP(T166-S166)</f>
        <v>6.0516641579816954E-2</v>
      </c>
      <c r="V166" s="55">
        <f>B$8*(1-AG166*C$8)</f>
        <v>0</v>
      </c>
      <c r="W166" s="56">
        <f>V166+E166</f>
        <v>45.666666666666664</v>
      </c>
      <c r="X166" s="18">
        <f>(W166/D$8)^E$8</f>
        <v>3.0803709406480337E-3</v>
      </c>
      <c r="Y166" s="18">
        <f>(V166/D$8)^E$8</f>
        <v>0</v>
      </c>
      <c r="Z166" s="38">
        <f>1-EXP(Y166-X166)</f>
        <v>3.0756314657778283E-3</v>
      </c>
      <c r="AA166" s="41">
        <f>K166*P166*U166*Z166</f>
        <v>3.9101438569080559E-7</v>
      </c>
      <c r="AB166" s="42">
        <f>1-AA166</f>
        <v>0.99999960898561435</v>
      </c>
      <c r="AC166" s="47">
        <f>(AD166*F$5+AE166*F$6+AF166*F$7+AG166*F$8)+E166</f>
        <v>45.666666666666664</v>
      </c>
      <c r="AD166" s="43">
        <v>0</v>
      </c>
      <c r="AE166" s="1">
        <v>0</v>
      </c>
      <c r="AF166" s="1">
        <v>0</v>
      </c>
      <c r="AG166" s="1">
        <v>0</v>
      </c>
      <c r="AH166" s="44">
        <v>67</v>
      </c>
    </row>
    <row r="167" spans="1:34" x14ac:dyDescent="0.25">
      <c r="A167" s="24">
        <v>4</v>
      </c>
      <c r="B167" s="9">
        <v>8</v>
      </c>
      <c r="C167" s="9">
        <v>500</v>
      </c>
      <c r="D167" s="9">
        <v>3</v>
      </c>
      <c r="E167" s="9">
        <f t="shared" ref="E167:E169" si="17">B167*C167/60+D167</f>
        <v>69.666666666666671</v>
      </c>
      <c r="F167" s="14">
        <v>140</v>
      </c>
      <c r="G167" s="49">
        <f>H166*(1-AD167*C$5)</f>
        <v>45.666666666666664</v>
      </c>
      <c r="H167" s="50">
        <f>G167+E167</f>
        <v>115.33333333333334</v>
      </c>
      <c r="I167" s="15">
        <f>(H167/D$5)^E$5</f>
        <v>0.27547552976184858</v>
      </c>
      <c r="J167" s="15">
        <f>(G167/D$5)^E$5</f>
        <v>5.5463587496332782E-2</v>
      </c>
      <c r="K167" s="29">
        <f>1-EXP(J167-I167)</f>
        <v>0.19749078587286173</v>
      </c>
      <c r="L167" s="51">
        <f>M166*(1-AE167*C$6)</f>
        <v>45.666666666666664</v>
      </c>
      <c r="M167" s="52">
        <f>L167+E167</f>
        <v>115.33333333333334</v>
      </c>
      <c r="N167" s="17">
        <f>(M167/D$6)^E$6</f>
        <v>0.22666669883015245</v>
      </c>
      <c r="O167" s="17">
        <f>(L167/D$6)^E$6</f>
        <v>3.9715434673642101E-2</v>
      </c>
      <c r="P167" s="32">
        <f>1-EXP(O167-N167)</f>
        <v>0.17051583898942002</v>
      </c>
      <c r="Q167" s="53">
        <f>R166*(1-AF167*C$7)</f>
        <v>31.966666666666661</v>
      </c>
      <c r="R167" s="54">
        <f>Q167+E167</f>
        <v>101.63333333333333</v>
      </c>
      <c r="S167" s="16">
        <f>(R167/D$7)^E$7</f>
        <v>0.43614542494734021</v>
      </c>
      <c r="T167" s="16">
        <f>(Q167/D$7)^E$7</f>
        <v>2.6239043252001361E-2</v>
      </c>
      <c r="U167" s="35">
        <f>1-EXP(T167-S167)</f>
        <v>0.33628761714404032</v>
      </c>
      <c r="V167" s="55">
        <f>W166*(1-AG167*C$8)</f>
        <v>45.666666666666664</v>
      </c>
      <c r="W167" s="56">
        <f>V167+E167</f>
        <v>115.33333333333334</v>
      </c>
      <c r="X167" s="18">
        <f>(W167/D$8)^E$8</f>
        <v>3.2104248826077181E-2</v>
      </c>
      <c r="Y167" s="18">
        <f>(V167/D$8)^E$8</f>
        <v>3.0803709406480337E-3</v>
      </c>
      <c r="Z167" s="38">
        <f>1-EXP(Y167-X167)</f>
        <v>2.8606730627511734E-2</v>
      </c>
      <c r="AA167" s="41">
        <f>K167*P167*U167*Z167</f>
        <v>3.2395946021114352E-4</v>
      </c>
      <c r="AB167" s="42">
        <f>1-AA167</f>
        <v>0.99967604053978887</v>
      </c>
      <c r="AC167" s="47">
        <f>AF167*F$7+E167+AC166</f>
        <v>123.33333333333334</v>
      </c>
      <c r="AD167" s="43">
        <v>0</v>
      </c>
      <c r="AE167" s="1">
        <v>0</v>
      </c>
      <c r="AF167" s="1">
        <v>1</v>
      </c>
      <c r="AG167" s="1">
        <v>0</v>
      </c>
      <c r="AH167" s="44">
        <v>85</v>
      </c>
    </row>
    <row r="168" spans="1:34" x14ac:dyDescent="0.25">
      <c r="A168" s="57">
        <v>2</v>
      </c>
      <c r="B168" s="58">
        <v>9</v>
      </c>
      <c r="C168" s="58">
        <v>500</v>
      </c>
      <c r="D168" s="58">
        <v>2</v>
      </c>
      <c r="E168" s="66">
        <f t="shared" si="17"/>
        <v>77</v>
      </c>
      <c r="F168" s="67">
        <v>76</v>
      </c>
      <c r="G168" s="68">
        <f>H167*(1-AD168*C$5)</f>
        <v>80.733333333333334</v>
      </c>
      <c r="H168" s="69">
        <f>G168+E168</f>
        <v>157.73333333333335</v>
      </c>
      <c r="I168" s="70">
        <f>(H168/D$5)^E$5</f>
        <v>0.473487773687709</v>
      </c>
      <c r="J168" s="70">
        <f>(G168/D$5)^E$5</f>
        <v>0.14862868526677991</v>
      </c>
      <c r="K168" s="29">
        <f>1-EXP(J168-I168)</f>
        <v>0.27737082671398927</v>
      </c>
      <c r="L168" s="51">
        <f>M167*(1-AE168*C$6)</f>
        <v>80.733333333333334</v>
      </c>
      <c r="M168" s="52">
        <f>L168+E168</f>
        <v>157.73333333333335</v>
      </c>
      <c r="N168" s="17">
        <f>(M168/D$6)^E$6</f>
        <v>0.40832762011069829</v>
      </c>
      <c r="O168" s="17">
        <f>(L168/D$6)^E$6</f>
        <v>0.11592364675943075</v>
      </c>
      <c r="P168" s="32">
        <f>1-EXP(O168-N168)</f>
        <v>0.25353307768869848</v>
      </c>
      <c r="Q168" s="53">
        <f>R167*(1-AF168*C$7)</f>
        <v>71.143333333333317</v>
      </c>
      <c r="R168" s="54">
        <f>Q168+E168</f>
        <v>148.14333333333332</v>
      </c>
      <c r="S168" s="16">
        <f>(R168/D$7)^E$7</f>
        <v>1.0896598826067239</v>
      </c>
      <c r="T168" s="16">
        <f>(Q168/D$7)^E$7</f>
        <v>0.18332409867422045</v>
      </c>
      <c r="U168" s="35">
        <f>1-EXP(T168-S168)</f>
        <v>0.59599813469194651</v>
      </c>
      <c r="V168" s="55">
        <f>W167*(1-AG168*C$8)</f>
        <v>115.33333333333334</v>
      </c>
      <c r="W168" s="56">
        <f>V168+E168</f>
        <v>192.33333333333334</v>
      </c>
      <c r="X168" s="18">
        <f>(W168/D$8)^E$8</f>
        <v>0.11707786390726455</v>
      </c>
      <c r="Y168" s="18">
        <f>(V168/D$8)^E$8</f>
        <v>3.2104248826077181E-2</v>
      </c>
      <c r="Z168" s="38">
        <f>1-EXP(Y168-X168)</f>
        <v>8.1463480406769873E-2</v>
      </c>
      <c r="AA168" s="41">
        <f>K168*P168*U168*Z168</f>
        <v>3.4143125205174938E-3</v>
      </c>
      <c r="AB168" s="42">
        <f>1-AA168</f>
        <v>0.99658568747948251</v>
      </c>
      <c r="AC168" s="47">
        <f>(AF168*F$7)+E168+AC167</f>
        <v>208.33333333333334</v>
      </c>
      <c r="AD168" s="77">
        <v>1</v>
      </c>
      <c r="AE168" s="78">
        <v>1</v>
      </c>
      <c r="AF168" s="78">
        <v>1</v>
      </c>
      <c r="AG168" s="78">
        <v>0</v>
      </c>
      <c r="AH168" s="79">
        <v>40</v>
      </c>
    </row>
    <row r="169" spans="1:34" ht="15.75" thickBot="1" x14ac:dyDescent="0.3">
      <c r="A169" s="76">
        <v>1</v>
      </c>
      <c r="B169" s="58">
        <v>6</v>
      </c>
      <c r="C169" s="58">
        <v>500</v>
      </c>
      <c r="D169" s="58">
        <v>5</v>
      </c>
      <c r="E169" s="66">
        <f t="shared" si="17"/>
        <v>55</v>
      </c>
      <c r="F169" s="67">
        <v>106</v>
      </c>
      <c r="G169" s="68">
        <f>H168*(1-AD169*C$5)</f>
        <v>110.41333333333334</v>
      </c>
      <c r="H169" s="69">
        <f>G169+E169</f>
        <v>165.41333333333336</v>
      </c>
      <c r="I169" s="70">
        <f>(H169/D$5)^E$5</f>
        <v>0.51407695397697584</v>
      </c>
      <c r="J169" s="70">
        <f>(G169/D$5)^E$5</f>
        <v>0.25546321792697063</v>
      </c>
      <c r="K169" s="29">
        <f>1-EXP(J169-I169)</f>
        <v>0.22787879196136918</v>
      </c>
      <c r="L169" s="51">
        <f>M168*(1-AE169*C$6)</f>
        <v>110.41333333333334</v>
      </c>
      <c r="M169" s="52">
        <f>L169+E169</f>
        <v>165.41333333333336</v>
      </c>
      <c r="N169" s="17">
        <f>(M169/D$6)^E$6</f>
        <v>0.44650381920973092</v>
      </c>
      <c r="O169" s="17">
        <f>(L169/D$6)^E$6</f>
        <v>0.20883008858438834</v>
      </c>
      <c r="P169" s="32">
        <f>1-EXP(O169-N169)</f>
        <v>0.21154010054978001</v>
      </c>
      <c r="Q169" s="53">
        <f>R168*(1-AF169*C$7)</f>
        <v>103.70033333333332</v>
      </c>
      <c r="R169" s="54">
        <f>Q169+E169</f>
        <v>158.70033333333333</v>
      </c>
      <c r="S169" s="16">
        <f>(R169/D$7)^E$7</f>
        <v>1.288064401164744</v>
      </c>
      <c r="T169" s="16">
        <f>(Q169/D$7)^E$7</f>
        <v>0.45801447043598709</v>
      </c>
      <c r="U169" s="35">
        <f>1-EXP(T169-S169)</f>
        <v>0.56397248539356104</v>
      </c>
      <c r="V169" s="55">
        <f>W168*(1-AG169*C$8)</f>
        <v>134.63333333333333</v>
      </c>
      <c r="W169" s="56">
        <f>V169+E169</f>
        <v>189.63333333333333</v>
      </c>
      <c r="X169" s="18">
        <f>(W169/D$8)^E$8</f>
        <v>0.11296421670190258</v>
      </c>
      <c r="Y169" s="18">
        <f>(V169/D$8)^E$8</f>
        <v>4.7486791978556986E-2</v>
      </c>
      <c r="Z169" s="38">
        <f>1-EXP(Y169-X169)</f>
        <v>6.337980901910989E-2</v>
      </c>
      <c r="AA169" s="41">
        <f>K169*P169*U169*Z169</f>
        <v>1.7230800639136048E-3</v>
      </c>
      <c r="AB169" s="42">
        <f>1-AA169</f>
        <v>0.99827691993608636</v>
      </c>
      <c r="AC169" s="47">
        <f>(AF169*F$7)+E169+AC168</f>
        <v>271.33333333333337</v>
      </c>
      <c r="AD169" s="80">
        <v>1</v>
      </c>
      <c r="AE169" s="45">
        <v>1</v>
      </c>
      <c r="AF169" s="81">
        <v>1</v>
      </c>
      <c r="AG169" s="45">
        <v>1</v>
      </c>
      <c r="AH169" s="82">
        <v>110</v>
      </c>
    </row>
    <row r="170" spans="1:34" ht="18.75" x14ac:dyDescent="0.3">
      <c r="A170" s="132" t="s">
        <v>53</v>
      </c>
      <c r="B170" s="132"/>
      <c r="C170" s="132"/>
      <c r="D170" s="132"/>
      <c r="E170" s="132"/>
      <c r="F170" s="132"/>
      <c r="G170" s="132"/>
      <c r="H170" s="132"/>
      <c r="I170" s="132"/>
      <c r="J170" s="132"/>
      <c r="AG170" s="46"/>
    </row>
    <row r="171" spans="1:34" ht="15.75" x14ac:dyDescent="0.25">
      <c r="A171" s="19" t="s">
        <v>54</v>
      </c>
      <c r="B171" s="60" t="s">
        <v>49</v>
      </c>
      <c r="C171" s="61" t="s">
        <v>50</v>
      </c>
      <c r="D171" s="19" t="s">
        <v>82</v>
      </c>
      <c r="E171" s="60" t="s">
        <v>57</v>
      </c>
      <c r="F171" s="61" t="s">
        <v>50</v>
      </c>
      <c r="G171" s="19" t="s">
        <v>48</v>
      </c>
      <c r="H171" s="60" t="s">
        <v>61</v>
      </c>
      <c r="I171" s="61" t="s">
        <v>50</v>
      </c>
      <c r="J171" s="19" t="s">
        <v>58</v>
      </c>
      <c r="K171" s="83" t="s">
        <v>84</v>
      </c>
      <c r="L171" s="61" t="s">
        <v>50</v>
      </c>
      <c r="M171" s="61" t="s">
        <v>85</v>
      </c>
      <c r="O171" s="174" t="s">
        <v>64</v>
      </c>
      <c r="P171" s="174"/>
      <c r="Q171" s="175" t="s">
        <v>109</v>
      </c>
      <c r="R171" s="175"/>
    </row>
    <row r="172" spans="1:34" ht="24.75" x14ac:dyDescent="0.25">
      <c r="A172" s="61" t="s">
        <v>51</v>
      </c>
      <c r="B172" s="1">
        <f>AA166</f>
        <v>3.9101438569080559E-7</v>
      </c>
      <c r="C172" s="59">
        <f>MAX(AC166+1*L159-F166,0)</f>
        <v>0</v>
      </c>
      <c r="D172" s="62" t="s">
        <v>55</v>
      </c>
      <c r="E172" s="1">
        <f>AA166*AA167</f>
        <v>1.2667280932318526E-10</v>
      </c>
      <c r="F172" s="1">
        <f>MAX(AC167+2*L159-F167,0)</f>
        <v>7.3333333333333428</v>
      </c>
      <c r="G172" s="62" t="s">
        <v>59</v>
      </c>
      <c r="H172" s="1">
        <f>AA166*AA167*AA168</f>
        <v>4.3250055888127652E-13</v>
      </c>
      <c r="I172" s="1">
        <f>AC168+3*L159-F168</f>
        <v>168.33333333333334</v>
      </c>
      <c r="J172" s="62" t="s">
        <v>83</v>
      </c>
      <c r="K172" s="1">
        <f>AA166*AA167*AA168*AA169</f>
        <v>7.4523309063981976E-16</v>
      </c>
      <c r="L172" s="1">
        <f>AC169+4*L159-F169</f>
        <v>213.33333333333337</v>
      </c>
      <c r="M172" s="1">
        <f>B172*C172*AH166+E172*F172*AH167+H172*I172*AH168+K172*L172*AH169</f>
        <v>8.1889043044446515E-8</v>
      </c>
      <c r="O172" s="1" t="s">
        <v>27</v>
      </c>
      <c r="P172" s="1">
        <f>2*H157</f>
        <v>3640</v>
      </c>
      <c r="Q172" s="1">
        <f>(K166*(1-P166)*(1-U166)*(1-Z166))+(P166*(1-K166)*(1-U166)*(1-Z166))+(U166*(1-K166)*(1-P166)*(1-Z166))+(Z166*(1-K166)*(1-P166)*(1-U166))</f>
        <v>0.1405459062810282</v>
      </c>
      <c r="R172" s="1">
        <f>Q172*(L$7*(J$5*K$5+L$5)+I$5)</f>
        <v>4953.5404668748388</v>
      </c>
    </row>
    <row r="173" spans="1:34" ht="24.75" x14ac:dyDescent="0.25">
      <c r="A173" s="62" t="s">
        <v>52</v>
      </c>
      <c r="B173" s="1">
        <f>AB166</f>
        <v>0.99999960898561435</v>
      </c>
      <c r="C173" s="59">
        <f>MAX(AC166-F166,0)</f>
        <v>0</v>
      </c>
      <c r="D173" s="62" t="s">
        <v>56</v>
      </c>
      <c r="E173" s="1">
        <f>AA166*AB167+AA167*AB166</f>
        <v>3.243502212512157E-4</v>
      </c>
      <c r="F173" s="1">
        <f>MAX(AC167+1*L159-F167,0)</f>
        <v>0</v>
      </c>
      <c r="G173" s="62" t="s">
        <v>60</v>
      </c>
      <c r="H173" s="1">
        <f>AA166*AA167*AB168+AA167*AA168*AB166+AA166*AA168*AB167</f>
        <v>1.1075592617594094E-6</v>
      </c>
      <c r="I173" s="1">
        <f>AC168+2*L159-F168</f>
        <v>156.33333333333334</v>
      </c>
      <c r="J173" s="62" t="s">
        <v>59</v>
      </c>
      <c r="K173">
        <f>AB166*AA167*AA168*AA169+AB167*AA166*AA168*AA169*+AB168*AA166*AA167*AA169+AB169*AA166*AA167*AA168</f>
        <v>1.9063278719772464E-9</v>
      </c>
      <c r="L173" s="1">
        <f>AC169+3*L159-F169</f>
        <v>201.33333333333337</v>
      </c>
      <c r="M173" s="1">
        <f>B173*C173*AH166+E173*F173*AH167+H173*I173*AH168+K173*L173*AH169</f>
        <v>6.9681560581402301E-3</v>
      </c>
      <c r="O173" s="1" t="s">
        <v>28</v>
      </c>
      <c r="P173" s="1">
        <f>2*H158</f>
        <v>5440</v>
      </c>
      <c r="Q173" s="1">
        <f t="shared" ref="Q173:Q175" si="18">(K167*(1-P167)*(1-U167)*(1-Z167))+(P167*(1-K167)*(1-U167)*(1-Z167))+(U167*(1-K167)*(1-P167)*(1-Z167))+(Z167*(1-K167)*(1-P167)*(1-U167))</f>
        <v>0.42393182479648545</v>
      </c>
      <c r="R173" s="1">
        <f t="shared" ref="R173:R175" si="19">Q173*(L$7*(J$5*K$5+L$5)+I$5)</f>
        <v>14941.47716495213</v>
      </c>
    </row>
    <row r="174" spans="1:34" ht="24.75" x14ac:dyDescent="0.25">
      <c r="A174" s="1"/>
      <c r="B174" s="1"/>
      <c r="C174" s="1"/>
      <c r="D174" s="62" t="s">
        <v>52</v>
      </c>
      <c r="E174" s="1">
        <f>AB166*AB167</f>
        <v>0.999675649652076</v>
      </c>
      <c r="F174" s="59">
        <f>MAX(AC167-F167,0)</f>
        <v>0</v>
      </c>
      <c r="G174" s="62" t="s">
        <v>56</v>
      </c>
      <c r="H174" s="1">
        <f>AA166*AB167*AB168+AA167*AB166*AB168*+AA168*AB166*AB167</f>
        <v>1.4915174045888745E-6</v>
      </c>
      <c r="I174" s="1">
        <f>AC168+1*L159-F168</f>
        <v>144.33333333333334</v>
      </c>
      <c r="J174" s="62" t="s">
        <v>60</v>
      </c>
      <c r="K174" s="1">
        <f>AA166*AA167*AB168*AB169 + AA166*AA168*AB167*AB169 + AA166*AA169*AB167*AB168 + AA167*AA168*AB166*AB169 + AA167*AA169*AB166*AB168 + AA168*AA169*AB166*AB167</f>
        <v>7.5438496922461155E-6</v>
      </c>
      <c r="L174" s="1">
        <f>AC169+2*L159-F169</f>
        <v>189.33333333333337</v>
      </c>
      <c r="M174" s="1">
        <f>B174*C174*AH166+E174*F174*AH167+H174*I174*AH168+K174*L174*AH169</f>
        <v>0.16572427007300555</v>
      </c>
      <c r="O174" s="1" t="s">
        <v>29</v>
      </c>
      <c r="P174" s="1">
        <f>3*(F159*(J157*K157+L157)+H159)</f>
        <v>42300</v>
      </c>
      <c r="Q174" s="1">
        <f t="shared" si="18"/>
        <v>0.4578769309856075</v>
      </c>
      <c r="R174" s="1">
        <f t="shared" si="19"/>
        <v>16137.872432587736</v>
      </c>
    </row>
    <row r="175" spans="1:34" ht="24.75" x14ac:dyDescent="0.25">
      <c r="A175" s="1"/>
      <c r="B175" s="1"/>
      <c r="C175" s="1"/>
      <c r="D175" s="1"/>
      <c r="E175" s="1"/>
      <c r="F175" s="1"/>
      <c r="G175" s="62" t="s">
        <v>52</v>
      </c>
      <c r="H175" s="1">
        <f>AB166*AB167*AB168</f>
        <v>0.99626244456501245</v>
      </c>
      <c r="I175" s="63">
        <f>AC168-F168</f>
        <v>132.33333333333334</v>
      </c>
      <c r="J175" s="62" t="s">
        <v>56</v>
      </c>
      <c r="K175" s="1">
        <f>AA166*AB167*AB168*AB169+AA167*AB166*AB168*AB169+AA168*AB166*AB167*AB169+AA169*AB166*AB167*AB168</f>
        <v>5.4466496331053429E-3</v>
      </c>
      <c r="L175" s="1">
        <f>AC169+1*L159-F169</f>
        <v>177.33333333333337</v>
      </c>
      <c r="M175" s="1">
        <f>B175*C175*AH166+E175*F175*AH167+H175*I175*AH168+K175*L175*AH169</f>
        <v>5379.7951854072398</v>
      </c>
      <c r="O175" s="1" t="s">
        <v>30</v>
      </c>
      <c r="P175" s="1">
        <f>1*H160</f>
        <v>4320</v>
      </c>
      <c r="Q175" s="1">
        <f t="shared" si="18"/>
        <v>0.47848390594240875</v>
      </c>
      <c r="R175" s="1">
        <f t="shared" si="19"/>
        <v>16864.165264940195</v>
      </c>
    </row>
    <row r="176" spans="1:34" ht="30" x14ac:dyDescent="0.25">
      <c r="I176" s="84"/>
      <c r="J176" s="62" t="s">
        <v>52</v>
      </c>
      <c r="K176" s="85">
        <f>AB166*AB167*AB168*AB169</f>
        <v>0.99454580460835662</v>
      </c>
      <c r="L176" s="1">
        <f>AC169+0*L159-F169</f>
        <v>165.33333333333337</v>
      </c>
      <c r="M176" s="1">
        <f>B176*C176*AH166+E176*F176*AH167+H176*I176*AH168+K176*L176*AH169</f>
        <v>18087.473033143982</v>
      </c>
      <c r="O176" s="64" t="s">
        <v>65</v>
      </c>
      <c r="P176" s="65">
        <f>SUM(P172:P175)</f>
        <v>55700</v>
      </c>
      <c r="Q176" s="96" t="s">
        <v>108</v>
      </c>
      <c r="R176" s="97">
        <f>SUM(R172:R175)</f>
        <v>52897.055329354902</v>
      </c>
    </row>
    <row r="177" spans="1:20" x14ac:dyDescent="0.25">
      <c r="L177" s="176" t="s">
        <v>63</v>
      </c>
      <c r="M177" s="177">
        <f>SUM(M172:M176)</f>
        <v>23467.440911059242</v>
      </c>
    </row>
    <row r="178" spans="1:20" x14ac:dyDescent="0.25">
      <c r="L178" s="176"/>
      <c r="M178" s="177"/>
    </row>
    <row r="179" spans="1:20" x14ac:dyDescent="0.25">
      <c r="A179" s="178" t="s">
        <v>90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</row>
    <row r="180" spans="1:20" ht="15.75" x14ac:dyDescent="0.25">
      <c r="A180" s="87" t="s">
        <v>76</v>
      </c>
      <c r="B180" s="62" t="s">
        <v>49</v>
      </c>
      <c r="C180" s="90" t="s">
        <v>102</v>
      </c>
      <c r="D180" s="62" t="s">
        <v>88</v>
      </c>
      <c r="E180" s="87" t="s">
        <v>86</v>
      </c>
      <c r="F180" s="62" t="s">
        <v>57</v>
      </c>
      <c r="G180" s="90" t="s">
        <v>103</v>
      </c>
      <c r="H180" s="62" t="s">
        <v>88</v>
      </c>
      <c r="I180" s="87" t="s">
        <v>75</v>
      </c>
      <c r="J180" s="62" t="s">
        <v>61</v>
      </c>
      <c r="K180" s="90" t="s">
        <v>87</v>
      </c>
      <c r="L180" s="62" t="s">
        <v>88</v>
      </c>
      <c r="M180" s="87" t="s">
        <v>77</v>
      </c>
      <c r="N180" s="62" t="s">
        <v>84</v>
      </c>
      <c r="O180" s="90" t="s">
        <v>78</v>
      </c>
      <c r="P180" s="62" t="s">
        <v>88</v>
      </c>
    </row>
    <row r="181" spans="1:20" ht="24.75" x14ac:dyDescent="0.25">
      <c r="A181" s="62" t="s">
        <v>51</v>
      </c>
      <c r="B181" s="86">
        <v>3.9101438569080559E-7</v>
      </c>
      <c r="C181" s="86">
        <f>AC166+1*L159</f>
        <v>57.666666666666664</v>
      </c>
      <c r="D181" s="86">
        <f>MAX(B181*1.5*((C181-F166)*500/2),0)</f>
        <v>0</v>
      </c>
      <c r="E181" s="62" t="s">
        <v>55</v>
      </c>
      <c r="F181" s="86">
        <v>1.2667280932318526E-10</v>
      </c>
      <c r="G181" s="86">
        <f>AC167+2*L159</f>
        <v>147.33333333333334</v>
      </c>
      <c r="H181" s="86">
        <f>F181*1.5*((G181-F167)*500/2+(G181-F168)*500 + (G181-F169)*500)</f>
        <v>1.1052202613447916E-5</v>
      </c>
      <c r="I181" s="62" t="s">
        <v>59</v>
      </c>
      <c r="J181" s="86">
        <v>4.3250055888127652E-13</v>
      </c>
      <c r="K181" s="86">
        <f>AC168+3*L159</f>
        <v>244.33333333333334</v>
      </c>
      <c r="L181" s="86">
        <f>J181*1.5*((K181-G181)*500/2+(K181-G181)*500)</f>
        <v>4.7196623487919298E-8</v>
      </c>
      <c r="M181" s="62" t="s">
        <v>83</v>
      </c>
      <c r="N181" s="86">
        <v>7.4523309063981976E-16</v>
      </c>
      <c r="O181" s="86">
        <f>AC169+4*L159</f>
        <v>319.33333333333337</v>
      </c>
      <c r="P181" s="86">
        <f>N181*1.5*((O181-K181)*500/2)</f>
        <v>2.0959680674244938E-11</v>
      </c>
    </row>
    <row r="182" spans="1:20" ht="24.75" x14ac:dyDescent="0.25">
      <c r="A182" s="62" t="s">
        <v>52</v>
      </c>
      <c r="B182" s="86">
        <v>0.99999960898561435</v>
      </c>
      <c r="C182" s="88">
        <f>AC166</f>
        <v>45.666666666666664</v>
      </c>
      <c r="D182" s="86">
        <f>MAX(B182*1.5*((C182-F166)*500/2),0)</f>
        <v>0</v>
      </c>
      <c r="E182" s="62" t="s">
        <v>56</v>
      </c>
      <c r="F182" s="86">
        <v>3.243502212512157E-4</v>
      </c>
      <c r="G182" s="86">
        <f>AC167+1*L159</f>
        <v>135.33333333333334</v>
      </c>
      <c r="H182" s="86">
        <f>F182*1.5*((G182-F168)*500+(G182-F169)*500)</f>
        <v>21.569289713205851</v>
      </c>
      <c r="I182" s="62" t="s">
        <v>60</v>
      </c>
      <c r="J182" s="86">
        <v>1.1075592617594094E-6</v>
      </c>
      <c r="K182" s="86">
        <f>AC168+2*L159</f>
        <v>232.33333333333334</v>
      </c>
      <c r="L182" s="86">
        <f>J182*1.5*((K182-G182)*500/2+(K182-G182)*500)</f>
        <v>0.12086240443949554</v>
      </c>
      <c r="M182" s="62" t="s">
        <v>59</v>
      </c>
      <c r="N182" s="86">
        <v>1.9063278719772464E-9</v>
      </c>
      <c r="O182" s="86">
        <f>AC169+3*L159</f>
        <v>307.33333333333337</v>
      </c>
      <c r="P182" s="86">
        <f>N182*1.5*((O182-K182)*500/2)</f>
        <v>5.3615471399360079E-5</v>
      </c>
    </row>
    <row r="183" spans="1:20" x14ac:dyDescent="0.25">
      <c r="A183" s="86"/>
      <c r="B183" s="86"/>
      <c r="C183" s="89" t="s">
        <v>89</v>
      </c>
      <c r="D183" s="89">
        <f>SUM(D181:D182)</f>
        <v>0</v>
      </c>
      <c r="E183" s="62" t="s">
        <v>52</v>
      </c>
      <c r="F183" s="86">
        <v>0.999675649652076</v>
      </c>
      <c r="G183" s="86">
        <f>AC167+0*L159</f>
        <v>123.33333333333334</v>
      </c>
      <c r="H183" s="86">
        <f>F183*1.5*((G183-F168)*500+(G183-F169)*500)</f>
        <v>48484.269008125702</v>
      </c>
      <c r="I183" s="62" t="s">
        <v>56</v>
      </c>
      <c r="J183" s="86">
        <v>1.4915174045888745E-6</v>
      </c>
      <c r="K183" s="86">
        <f>AC168+1*L159</f>
        <v>220.33333333333334</v>
      </c>
      <c r="L183" s="86">
        <f>J183*1.5*((K183-G183)*500/2+(K183-G183)*500)</f>
        <v>0.16276183677576095</v>
      </c>
      <c r="M183" s="62" t="s">
        <v>60</v>
      </c>
      <c r="N183" s="86">
        <v>7.5438496922461155E-6</v>
      </c>
      <c r="O183" s="86">
        <f>AC169+2*L159</f>
        <v>295.33333333333337</v>
      </c>
      <c r="P183" s="86">
        <f>N183*1.5*((O183-K183)*500/2)</f>
        <v>0.2121707725944221</v>
      </c>
    </row>
    <row r="184" spans="1:20" x14ac:dyDescent="0.25">
      <c r="A184" s="86"/>
      <c r="B184" s="86"/>
      <c r="C184" s="86"/>
      <c r="D184" s="86"/>
      <c r="E184" s="86"/>
      <c r="F184" s="86"/>
      <c r="G184" s="89" t="s">
        <v>79</v>
      </c>
      <c r="H184" s="89">
        <f>SUM(H181:H183)</f>
        <v>48505.838308891114</v>
      </c>
      <c r="I184" s="62" t="s">
        <v>52</v>
      </c>
      <c r="J184" s="86">
        <v>0.99626244456501245</v>
      </c>
      <c r="K184" s="86">
        <f>AC168+0*L159</f>
        <v>208.33333333333334</v>
      </c>
      <c r="L184" s="86">
        <f>J184*1.5*((K184-G183)*500/2+(K184-G183)*500)</f>
        <v>95267.59626152931</v>
      </c>
      <c r="M184" s="62" t="s">
        <v>56</v>
      </c>
      <c r="N184" s="86">
        <v>5.4466496331053429E-3</v>
      </c>
      <c r="O184" s="86">
        <f>AC169+1*L159</f>
        <v>283.33333333333337</v>
      </c>
      <c r="P184" s="86">
        <f>N184*1.5*((O184-K184)*500/2)</f>
        <v>153.18702093108783</v>
      </c>
    </row>
    <row r="185" spans="1:20" x14ac:dyDescent="0.25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9" t="s">
        <v>79</v>
      </c>
      <c r="L185" s="89">
        <f>SUM(L181:L184)</f>
        <v>95267.879885817718</v>
      </c>
      <c r="M185" s="62" t="s">
        <v>52</v>
      </c>
      <c r="N185" s="86">
        <v>0.99454580460835662</v>
      </c>
      <c r="O185" s="86">
        <f>AC169+0*L159</f>
        <v>271.33333333333337</v>
      </c>
      <c r="P185" s="86">
        <f>N185*1.5*((O185-K184)*500/2)</f>
        <v>23496.144633872438</v>
      </c>
      <c r="Q185" s="179" t="s">
        <v>80</v>
      </c>
      <c r="R185" s="179"/>
      <c r="S185" s="180">
        <f>D183+H184+L185+P186</f>
        <v>167423.26207390046</v>
      </c>
      <c r="T185" s="180"/>
    </row>
    <row r="186" spans="1:20" x14ac:dyDescent="0.25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9" t="s">
        <v>79</v>
      </c>
      <c r="P186" s="89">
        <f>SUM(P181:P185)</f>
        <v>23649.543879191613</v>
      </c>
      <c r="Q186" s="179"/>
      <c r="R186" s="179"/>
      <c r="S186" s="180"/>
      <c r="T186" s="180"/>
    </row>
    <row r="187" spans="1:20" x14ac:dyDescent="0.25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</row>
    <row r="188" spans="1:20" x14ac:dyDescent="0.25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</row>
    <row r="189" spans="1:20" x14ac:dyDescent="0.25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</row>
    <row r="190" spans="1:20" ht="24.75" thickBot="1" x14ac:dyDescent="0.3">
      <c r="O190" s="131" t="s">
        <v>81</v>
      </c>
      <c r="P190" s="131"/>
      <c r="Q190" s="131">
        <f>(R176+P176+M177+S185)/AC169</f>
        <v>1103.7632370306435</v>
      </c>
      <c r="R190" s="131"/>
    </row>
    <row r="191" spans="1:20" x14ac:dyDescent="0.25">
      <c r="A191" s="181" t="s">
        <v>96</v>
      </c>
      <c r="B191" s="182"/>
    </row>
    <row r="192" spans="1:20" ht="15.75" thickBot="1" x14ac:dyDescent="0.3">
      <c r="A192" s="183"/>
      <c r="B192" s="184"/>
    </row>
    <row r="193" spans="1:34" ht="21" x14ac:dyDescent="0.35">
      <c r="A193" s="185" t="s">
        <v>14</v>
      </c>
      <c r="B193" s="18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O193" s="166" t="s">
        <v>72</v>
      </c>
      <c r="P193" s="166"/>
      <c r="Q193" s="166"/>
      <c r="R193" s="166"/>
      <c r="S193" s="166"/>
      <c r="T193" s="166"/>
      <c r="U193" s="166"/>
      <c r="V193" s="166"/>
    </row>
    <row r="194" spans="1:34" ht="36" x14ac:dyDescent="0.25">
      <c r="A194" s="4" t="s">
        <v>15</v>
      </c>
      <c r="B194" s="4" t="s">
        <v>16</v>
      </c>
      <c r="C194" s="4" t="s">
        <v>31</v>
      </c>
      <c r="D194" s="6" t="s">
        <v>17</v>
      </c>
      <c r="E194" s="6" t="s">
        <v>18</v>
      </c>
      <c r="F194" s="6" t="s">
        <v>19</v>
      </c>
      <c r="G194" s="6" t="s">
        <v>20</v>
      </c>
      <c r="H194" s="6" t="s">
        <v>21</v>
      </c>
      <c r="I194" s="6" t="s">
        <v>22</v>
      </c>
      <c r="J194" s="6" t="s">
        <v>23</v>
      </c>
      <c r="K194" s="6" t="s">
        <v>24</v>
      </c>
      <c r="L194" s="6" t="s">
        <v>25</v>
      </c>
      <c r="M194" s="6" t="s">
        <v>26</v>
      </c>
      <c r="N194" s="8"/>
      <c r="O194" s="167" t="s">
        <v>32</v>
      </c>
      <c r="P194" s="167" t="s">
        <v>35</v>
      </c>
      <c r="Q194" s="167" t="s">
        <v>66</v>
      </c>
      <c r="R194" s="91" t="s">
        <v>67</v>
      </c>
      <c r="S194" s="91" t="s">
        <v>68</v>
      </c>
      <c r="T194" s="167" t="s">
        <v>69</v>
      </c>
      <c r="U194" s="71" t="s">
        <v>33</v>
      </c>
      <c r="V194" s="91" t="s">
        <v>70</v>
      </c>
    </row>
    <row r="195" spans="1:34" x14ac:dyDescent="0.25">
      <c r="A195" s="3" t="s">
        <v>27</v>
      </c>
      <c r="B195" s="3">
        <v>0</v>
      </c>
      <c r="C195" s="3">
        <v>0.3</v>
      </c>
      <c r="D195" s="3">
        <v>243</v>
      </c>
      <c r="E195" s="3">
        <v>1.73</v>
      </c>
      <c r="F195" s="3">
        <v>5</v>
      </c>
      <c r="G195" s="169">
        <v>12</v>
      </c>
      <c r="H195" s="3">
        <v>1820</v>
      </c>
      <c r="I195" s="169">
        <v>19645</v>
      </c>
      <c r="J195" s="3">
        <v>20</v>
      </c>
      <c r="K195" s="3">
        <v>40</v>
      </c>
      <c r="L195" s="3">
        <v>500</v>
      </c>
      <c r="M195" s="3">
        <v>1000</v>
      </c>
      <c r="O195" s="168"/>
      <c r="P195" s="168"/>
      <c r="Q195" s="168"/>
      <c r="R195" s="72" t="s">
        <v>71</v>
      </c>
      <c r="S195" s="72" t="s">
        <v>71</v>
      </c>
      <c r="T195" s="168"/>
      <c r="U195" s="73">
        <v>500</v>
      </c>
      <c r="V195" s="3">
        <v>1.5</v>
      </c>
    </row>
    <row r="196" spans="1:34" x14ac:dyDescent="0.25">
      <c r="A196" s="3" t="s">
        <v>28</v>
      </c>
      <c r="B196" s="3">
        <v>0</v>
      </c>
      <c r="C196" s="3">
        <v>0.3</v>
      </c>
      <c r="D196" s="3">
        <v>254</v>
      </c>
      <c r="E196" s="3">
        <v>1.88</v>
      </c>
      <c r="F196" s="3">
        <v>3</v>
      </c>
      <c r="G196" s="170"/>
      <c r="H196" s="3">
        <v>2720</v>
      </c>
      <c r="I196" s="170"/>
      <c r="J196" s="5"/>
      <c r="K196" s="5"/>
      <c r="L196" s="5"/>
      <c r="M196" s="5"/>
      <c r="O196" s="74">
        <v>1</v>
      </c>
      <c r="P196" s="74">
        <v>106</v>
      </c>
      <c r="Q196" s="74">
        <v>110</v>
      </c>
      <c r="R196" s="74">
        <v>6</v>
      </c>
      <c r="S196" s="74">
        <v>5</v>
      </c>
      <c r="T196" s="74">
        <f>R196*$U$5/60+S196</f>
        <v>55</v>
      </c>
      <c r="U196" s="75"/>
    </row>
    <row r="197" spans="1:34" x14ac:dyDescent="0.25">
      <c r="A197" s="3" t="s">
        <v>29</v>
      </c>
      <c r="B197" s="3">
        <v>0</v>
      </c>
      <c r="C197" s="3">
        <v>0.3</v>
      </c>
      <c r="D197" s="3">
        <v>143</v>
      </c>
      <c r="E197" s="3">
        <v>2.4300000000000002</v>
      </c>
      <c r="F197" s="3">
        <v>8</v>
      </c>
      <c r="G197" s="170"/>
      <c r="H197" s="3">
        <v>3700</v>
      </c>
      <c r="I197" s="170"/>
      <c r="J197" s="5"/>
      <c r="K197" s="140" t="s">
        <v>73</v>
      </c>
      <c r="L197" s="141">
        <v>12</v>
      </c>
      <c r="M197" s="140" t="s">
        <v>74</v>
      </c>
      <c r="N197" s="141">
        <v>19645</v>
      </c>
      <c r="O197" s="74">
        <v>2</v>
      </c>
      <c r="P197" s="74">
        <v>76</v>
      </c>
      <c r="Q197" s="74">
        <v>40</v>
      </c>
      <c r="R197" s="74">
        <v>9</v>
      </c>
      <c r="S197" s="74">
        <v>2</v>
      </c>
      <c r="T197" s="74">
        <f t="shared" ref="T197:T199" si="20">R197*$U$5/60+S197</f>
        <v>77</v>
      </c>
      <c r="U197" s="75"/>
    </row>
    <row r="198" spans="1:34" x14ac:dyDescent="0.25">
      <c r="A198" s="3" t="s">
        <v>30</v>
      </c>
      <c r="B198" s="3">
        <v>0</v>
      </c>
      <c r="C198" s="3">
        <v>0.3</v>
      </c>
      <c r="D198" s="3">
        <v>449</v>
      </c>
      <c r="E198" s="3">
        <v>2.5299999999999998</v>
      </c>
      <c r="F198" s="3">
        <v>4</v>
      </c>
      <c r="G198" s="171"/>
      <c r="H198" s="3">
        <v>4320</v>
      </c>
      <c r="I198" s="171"/>
      <c r="J198" s="5"/>
      <c r="K198" s="140"/>
      <c r="L198" s="141"/>
      <c r="M198" s="140"/>
      <c r="N198" s="141"/>
      <c r="O198" s="74">
        <v>3</v>
      </c>
      <c r="P198" s="74">
        <v>95</v>
      </c>
      <c r="Q198" s="74">
        <v>67</v>
      </c>
      <c r="R198" s="74">
        <v>5</v>
      </c>
      <c r="S198" s="74">
        <v>4</v>
      </c>
      <c r="T198" s="74">
        <f t="shared" si="20"/>
        <v>45.666666666666664</v>
      </c>
      <c r="U198" s="75"/>
    </row>
    <row r="199" spans="1:34" ht="15.75" thickBo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O199" s="74">
        <v>4</v>
      </c>
      <c r="P199" s="74">
        <v>140</v>
      </c>
      <c r="Q199" s="94">
        <v>85</v>
      </c>
      <c r="R199" s="94">
        <v>8</v>
      </c>
      <c r="S199" s="94">
        <v>3</v>
      </c>
      <c r="T199" s="74">
        <f t="shared" si="20"/>
        <v>69.666666666666671</v>
      </c>
    </row>
    <row r="200" spans="1:34" x14ac:dyDescent="0.25">
      <c r="A200" s="142" t="s">
        <v>36</v>
      </c>
      <c r="B200" s="144" t="s">
        <v>106</v>
      </c>
      <c r="C200" s="144"/>
      <c r="D200" s="144"/>
      <c r="E200" s="144"/>
      <c r="F200" s="20" t="s">
        <v>27</v>
      </c>
      <c r="G200" s="20" t="s">
        <v>28</v>
      </c>
      <c r="H200" s="20" t="s">
        <v>29</v>
      </c>
      <c r="I200" s="20" t="s">
        <v>30</v>
      </c>
    </row>
    <row r="201" spans="1:34" ht="15.75" thickBot="1" x14ac:dyDescent="0.3">
      <c r="A201" s="143"/>
      <c r="B201" s="145"/>
      <c r="C201" s="145"/>
      <c r="D201" s="145"/>
      <c r="E201" s="145"/>
      <c r="F201" s="20">
        <v>126</v>
      </c>
      <c r="G201" s="26">
        <v>91</v>
      </c>
      <c r="H201" s="26">
        <v>67</v>
      </c>
      <c r="I201" s="26">
        <v>201</v>
      </c>
    </row>
    <row r="202" spans="1:34" ht="15.75" thickBot="1" x14ac:dyDescent="0.3">
      <c r="A202" s="143"/>
      <c r="B202" s="145"/>
      <c r="C202" s="145"/>
      <c r="D202" s="145"/>
      <c r="E202" s="145"/>
      <c r="F202" s="7"/>
      <c r="G202" s="146" t="s">
        <v>27</v>
      </c>
      <c r="H202" s="147"/>
      <c r="I202" s="147"/>
      <c r="J202" s="147"/>
      <c r="K202" s="148"/>
      <c r="L202" s="149" t="s">
        <v>28</v>
      </c>
      <c r="M202" s="150"/>
      <c r="N202" s="150"/>
      <c r="O202" s="150"/>
      <c r="P202" s="151"/>
      <c r="Q202" s="152" t="s">
        <v>29</v>
      </c>
      <c r="R202" s="153"/>
      <c r="S202" s="153"/>
      <c r="T202" s="153"/>
      <c r="U202" s="154"/>
      <c r="V202" s="155" t="s">
        <v>30</v>
      </c>
      <c r="W202" s="156"/>
      <c r="X202" s="156"/>
      <c r="Y202" s="156"/>
      <c r="Z202" s="157"/>
      <c r="AA202" s="158" t="s">
        <v>42</v>
      </c>
      <c r="AB202" s="159"/>
      <c r="AC202" s="160" t="s">
        <v>44</v>
      </c>
      <c r="AD202" s="162" t="s">
        <v>47</v>
      </c>
      <c r="AE202" s="163"/>
      <c r="AF202" s="163"/>
      <c r="AG202" s="164"/>
      <c r="AH202" s="138" t="s">
        <v>62</v>
      </c>
    </row>
    <row r="203" spans="1:34" ht="36.75" x14ac:dyDescent="0.25">
      <c r="A203" s="21" t="s">
        <v>32</v>
      </c>
      <c r="B203" s="22" t="s">
        <v>37</v>
      </c>
      <c r="C203" s="23" t="s">
        <v>33</v>
      </c>
      <c r="D203" s="22" t="s">
        <v>38</v>
      </c>
      <c r="E203" s="22" t="s">
        <v>34</v>
      </c>
      <c r="F203" s="25" t="s">
        <v>35</v>
      </c>
      <c r="G203" s="27" t="s">
        <v>39</v>
      </c>
      <c r="H203" s="10" t="s">
        <v>40</v>
      </c>
      <c r="I203" s="10" t="s">
        <v>45</v>
      </c>
      <c r="J203" s="10" t="s">
        <v>46</v>
      </c>
      <c r="K203" s="28" t="s">
        <v>41</v>
      </c>
      <c r="L203" s="30" t="s">
        <v>39</v>
      </c>
      <c r="M203" s="13" t="s">
        <v>40</v>
      </c>
      <c r="N203" s="13" t="s">
        <v>45</v>
      </c>
      <c r="O203" s="13" t="s">
        <v>46</v>
      </c>
      <c r="P203" s="31" t="s">
        <v>41</v>
      </c>
      <c r="Q203" s="33" t="s">
        <v>39</v>
      </c>
      <c r="R203" s="12" t="s">
        <v>40</v>
      </c>
      <c r="S203" s="12" t="s">
        <v>45</v>
      </c>
      <c r="T203" s="12" t="s">
        <v>46</v>
      </c>
      <c r="U203" s="34" t="s">
        <v>41</v>
      </c>
      <c r="V203" s="36" t="s">
        <v>39</v>
      </c>
      <c r="W203" s="11" t="s">
        <v>40</v>
      </c>
      <c r="X203" s="11" t="s">
        <v>45</v>
      </c>
      <c r="Y203" s="11" t="s">
        <v>46</v>
      </c>
      <c r="Z203" s="37" t="s">
        <v>41</v>
      </c>
      <c r="AA203" s="39" t="s">
        <v>41</v>
      </c>
      <c r="AB203" s="40" t="s">
        <v>43</v>
      </c>
      <c r="AC203" s="161"/>
      <c r="AD203" s="43" t="s">
        <v>27</v>
      </c>
      <c r="AE203" s="1" t="s">
        <v>28</v>
      </c>
      <c r="AF203" s="1" t="s">
        <v>29</v>
      </c>
      <c r="AG203" s="1" t="s">
        <v>30</v>
      </c>
      <c r="AH203" s="139"/>
    </row>
    <row r="204" spans="1:34" x14ac:dyDescent="0.25">
      <c r="A204" s="24">
        <v>3</v>
      </c>
      <c r="B204" s="9">
        <v>5</v>
      </c>
      <c r="C204" s="9">
        <v>500</v>
      </c>
      <c r="D204" s="9">
        <v>4</v>
      </c>
      <c r="E204" s="48">
        <f>B204*C204/60+D204</f>
        <v>45.666666666666664</v>
      </c>
      <c r="F204" s="14">
        <v>95</v>
      </c>
      <c r="G204" s="49">
        <f>B$5*(1-AD204*C$5)</f>
        <v>0</v>
      </c>
      <c r="H204" s="50">
        <f>G204+E204</f>
        <v>45.666666666666664</v>
      </c>
      <c r="I204" s="15">
        <f>(H204/D$5)^E$5</f>
        <v>5.5463587496332782E-2</v>
      </c>
      <c r="J204" s="15">
        <f>(G204/D$5)^E$5</f>
        <v>0</v>
      </c>
      <c r="K204" s="29">
        <f>1-EXP(J204-I204)</f>
        <v>5.3953529036131931E-2</v>
      </c>
      <c r="L204" s="51">
        <f>B$6*(1-AE204*C$6)</f>
        <v>0</v>
      </c>
      <c r="M204" s="52">
        <f>L204+E204</f>
        <v>45.666666666666664</v>
      </c>
      <c r="N204" s="17">
        <f>(M204/D$6)^E$6</f>
        <v>3.9715434673642101E-2</v>
      </c>
      <c r="O204" s="17">
        <f>(L204/D$6)^E$6</f>
        <v>0</v>
      </c>
      <c r="P204" s="32">
        <f>1-EXP(O204-N204)</f>
        <v>3.8937114582545562E-2</v>
      </c>
      <c r="Q204" s="53">
        <f>B$7*(1-AF204*C$7)</f>
        <v>0</v>
      </c>
      <c r="R204" s="54">
        <f>Q204+E204</f>
        <v>45.666666666666664</v>
      </c>
      <c r="S204" s="16">
        <f>(R204/D$7)^E$7</f>
        <v>6.2425173515745024E-2</v>
      </c>
      <c r="T204" s="16">
        <f>(Q204/D$7)^E$7</f>
        <v>0</v>
      </c>
      <c r="U204" s="35">
        <f>1-EXP(T204-S204)</f>
        <v>6.0516641579816954E-2</v>
      </c>
      <c r="V204" s="55">
        <f>B$8*(1-AG204*C$8)</f>
        <v>0</v>
      </c>
      <c r="W204" s="56">
        <f>V204+E204</f>
        <v>45.666666666666664</v>
      </c>
      <c r="X204" s="18">
        <f>(W204/D$8)^E$8</f>
        <v>3.0803709406480337E-3</v>
      </c>
      <c r="Y204" s="18">
        <f>(V204/D$8)^E$8</f>
        <v>0</v>
      </c>
      <c r="Z204" s="38">
        <f>1-EXP(Y204-X204)</f>
        <v>3.0756314657778283E-3</v>
      </c>
      <c r="AA204" s="41">
        <f>K204*P204*U204*Z204</f>
        <v>3.9101438569080559E-7</v>
      </c>
      <c r="AB204" s="42">
        <f>1-AA204</f>
        <v>0.99999960898561435</v>
      </c>
      <c r="AC204" s="47">
        <f>(AD204*F$5+AE204*F$6+AF204*F$7+AG204*F$8)+E204</f>
        <v>45.666666666666664</v>
      </c>
      <c r="AD204" s="43">
        <v>0</v>
      </c>
      <c r="AE204" s="1">
        <v>0</v>
      </c>
      <c r="AF204" s="1">
        <v>0</v>
      </c>
      <c r="AG204" s="1">
        <v>0</v>
      </c>
      <c r="AH204" s="44">
        <v>67</v>
      </c>
    </row>
    <row r="205" spans="1:34" x14ac:dyDescent="0.25">
      <c r="A205" s="24">
        <v>4</v>
      </c>
      <c r="B205" s="9">
        <v>8</v>
      </c>
      <c r="C205" s="9">
        <v>500</v>
      </c>
      <c r="D205" s="9">
        <v>3</v>
      </c>
      <c r="E205" s="9">
        <f t="shared" ref="E205:E207" si="21">B205*C205/60+D205</f>
        <v>69.666666666666671</v>
      </c>
      <c r="F205" s="14">
        <v>140</v>
      </c>
      <c r="G205" s="49">
        <f>H204*(1-AD205*C$5)</f>
        <v>45.666666666666664</v>
      </c>
      <c r="H205" s="50">
        <f>G205+E205</f>
        <v>115.33333333333334</v>
      </c>
      <c r="I205" s="15">
        <f>(H205/D$5)^E$5</f>
        <v>0.27547552976184858</v>
      </c>
      <c r="J205" s="15">
        <f>(G205/D$5)^E$5</f>
        <v>5.5463587496332782E-2</v>
      </c>
      <c r="K205" s="29">
        <f>1-EXP(J205-I205)</f>
        <v>0.19749078587286173</v>
      </c>
      <c r="L205" s="51">
        <f>M204*(1-AE205*C$6)</f>
        <v>45.666666666666664</v>
      </c>
      <c r="M205" s="52">
        <f>L205+E205</f>
        <v>115.33333333333334</v>
      </c>
      <c r="N205" s="17">
        <f>(M205/D$6)^E$6</f>
        <v>0.22666669883015245</v>
      </c>
      <c r="O205" s="17">
        <f>(L205/D$6)^E$6</f>
        <v>3.9715434673642101E-2</v>
      </c>
      <c r="P205" s="32">
        <f>1-EXP(O205-N205)</f>
        <v>0.17051583898942002</v>
      </c>
      <c r="Q205" s="53">
        <f>R204*(1-AF205*C$7)</f>
        <v>31.966666666666661</v>
      </c>
      <c r="R205" s="54">
        <f>Q205+E205</f>
        <v>101.63333333333333</v>
      </c>
      <c r="S205" s="16">
        <f>(R205/D$7)^E$7</f>
        <v>0.43614542494734021</v>
      </c>
      <c r="T205" s="16">
        <f>(Q205/D$7)^E$7</f>
        <v>2.6239043252001361E-2</v>
      </c>
      <c r="U205" s="35">
        <f>1-EXP(T205-S205)</f>
        <v>0.33628761714404032</v>
      </c>
      <c r="V205" s="55">
        <f>W204*(1-AG205*C$8)</f>
        <v>45.666666666666664</v>
      </c>
      <c r="W205" s="56">
        <f>V205+E205</f>
        <v>115.33333333333334</v>
      </c>
      <c r="X205" s="18">
        <f>(W205/D$8)^E$8</f>
        <v>3.2104248826077181E-2</v>
      </c>
      <c r="Y205" s="18">
        <f>(V205/D$8)^E$8</f>
        <v>3.0803709406480337E-3</v>
      </c>
      <c r="Z205" s="38">
        <f>1-EXP(Y205-X205)</f>
        <v>2.8606730627511734E-2</v>
      </c>
      <c r="AA205" s="41">
        <f>K205*P205*U205*Z205</f>
        <v>3.2395946021114352E-4</v>
      </c>
      <c r="AB205" s="42">
        <f>1-AA205</f>
        <v>0.99967604053978887</v>
      </c>
      <c r="AC205" s="47">
        <f>AF205*F$7+E205+AC204</f>
        <v>123.33333333333334</v>
      </c>
      <c r="AD205" s="43">
        <v>0</v>
      </c>
      <c r="AE205" s="1">
        <v>0</v>
      </c>
      <c r="AF205" s="1">
        <v>1</v>
      </c>
      <c r="AG205" s="1">
        <v>0</v>
      </c>
      <c r="AH205" s="44">
        <v>85</v>
      </c>
    </row>
    <row r="206" spans="1:34" x14ac:dyDescent="0.25">
      <c r="A206" s="57">
        <v>1</v>
      </c>
      <c r="B206" s="58">
        <v>6</v>
      </c>
      <c r="C206" s="58">
        <v>500</v>
      </c>
      <c r="D206" s="58">
        <v>5</v>
      </c>
      <c r="E206" s="66">
        <f t="shared" si="21"/>
        <v>55</v>
      </c>
      <c r="F206" s="67">
        <v>106</v>
      </c>
      <c r="G206" s="68">
        <f>H205*(1-AD206*C$5)</f>
        <v>80.733333333333334</v>
      </c>
      <c r="H206" s="69">
        <f>G206+E206</f>
        <v>135.73333333333335</v>
      </c>
      <c r="I206" s="70">
        <f>(H206/D$5)^E$5</f>
        <v>0.36513109280337663</v>
      </c>
      <c r="J206" s="70">
        <f>(G206/D$5)^E$5</f>
        <v>0.14862868526677991</v>
      </c>
      <c r="K206" s="29">
        <f>1-EXP(J206-I206)</f>
        <v>0.19466940394254484</v>
      </c>
      <c r="L206" s="51">
        <f>M205*(1-AE206*C$6)</f>
        <v>80.733333333333334</v>
      </c>
      <c r="M206" s="52">
        <f>L206+E206</f>
        <v>135.73333333333335</v>
      </c>
      <c r="N206" s="17">
        <f>(M206/D$6)^E$6</f>
        <v>0.30786708540357188</v>
      </c>
      <c r="O206" s="17">
        <f>(L206/D$6)^E$6</f>
        <v>0.11592364675943075</v>
      </c>
      <c r="P206" s="32">
        <f>1-EXP(O206-N206)</f>
        <v>0.17464644971265575</v>
      </c>
      <c r="Q206" s="53">
        <f>R205*(1-AF206*C$7)</f>
        <v>71.143333333333317</v>
      </c>
      <c r="R206" s="54">
        <f>Q206+E206</f>
        <v>126.14333333333332</v>
      </c>
      <c r="S206" s="16">
        <f>(R206/D$7)^E$7</f>
        <v>0.73728209191845906</v>
      </c>
      <c r="T206" s="16">
        <f>(Q206/D$7)^E$7</f>
        <v>0.18332409867422045</v>
      </c>
      <c r="U206" s="35">
        <f>1-EXP(T206-S206)</f>
        <v>0.42532923986328564</v>
      </c>
      <c r="V206" s="55">
        <f>W205*(1-AG206*C$8)</f>
        <v>115.33333333333334</v>
      </c>
      <c r="W206" s="56">
        <f>V206+E206</f>
        <v>170.33333333333334</v>
      </c>
      <c r="X206" s="18">
        <f>(W206/D$8)^E$8</f>
        <v>8.6100338756432887E-2</v>
      </c>
      <c r="Y206" s="18">
        <f>(V206/D$8)^E$8</f>
        <v>3.2104248826077181E-2</v>
      </c>
      <c r="Z206" s="38">
        <f>1-EXP(Y206-X206)</f>
        <v>5.2564188965439573E-2</v>
      </c>
      <c r="AA206" s="41">
        <f>K206*P206*U206*Z206</f>
        <v>7.6010338829488337E-4</v>
      </c>
      <c r="AB206" s="42">
        <f>1-AA206</f>
        <v>0.99923989661170509</v>
      </c>
      <c r="AC206" s="47">
        <f>(AF206*F$7)+E206+AC205</f>
        <v>186.33333333333334</v>
      </c>
      <c r="AD206" s="77">
        <v>1</v>
      </c>
      <c r="AE206" s="78">
        <v>1</v>
      </c>
      <c r="AF206" s="78">
        <v>1</v>
      </c>
      <c r="AG206" s="78">
        <v>0</v>
      </c>
      <c r="AH206" s="79">
        <v>110</v>
      </c>
    </row>
    <row r="207" spans="1:34" ht="15.75" thickBot="1" x14ac:dyDescent="0.3">
      <c r="A207" s="76">
        <v>2</v>
      </c>
      <c r="B207" s="58">
        <v>9</v>
      </c>
      <c r="C207" s="58">
        <v>500</v>
      </c>
      <c r="D207" s="58">
        <v>2</v>
      </c>
      <c r="E207" s="66">
        <f t="shared" si="21"/>
        <v>77</v>
      </c>
      <c r="F207" s="67">
        <v>76</v>
      </c>
      <c r="G207" s="68">
        <f>H206*(1-AD207*C$5)</f>
        <v>95.013333333333335</v>
      </c>
      <c r="H207" s="69">
        <f>G207+E207</f>
        <v>172.01333333333332</v>
      </c>
      <c r="I207" s="70">
        <f>(H207/D$5)^E$5</f>
        <v>0.55007714400590135</v>
      </c>
      <c r="J207" s="70">
        <f>(G207/D$5)^E$5</f>
        <v>0.19700099794818257</v>
      </c>
      <c r="K207" s="29">
        <f>1-EXP(J207-I207)</f>
        <v>0.2974763030694797</v>
      </c>
      <c r="L207" s="51">
        <f>M206*(1-AE207*C$6)</f>
        <v>95.013333333333335</v>
      </c>
      <c r="M207" s="52">
        <f>L207+E207</f>
        <v>172.01333333333332</v>
      </c>
      <c r="N207" s="17">
        <f>(M207/D$6)^E$6</f>
        <v>0.4805840832144625</v>
      </c>
      <c r="O207" s="17">
        <f>(L207/D$6)^E$6</f>
        <v>0.15745178026315176</v>
      </c>
      <c r="P207" s="32">
        <f>1-EXP(O207-N207)</f>
        <v>0.27612192317372397</v>
      </c>
      <c r="Q207" s="53">
        <f>R206*(1-AF207*C$7)</f>
        <v>88.300333333333313</v>
      </c>
      <c r="R207" s="54">
        <f>Q207+E207</f>
        <v>165.3003333333333</v>
      </c>
      <c r="S207" s="16">
        <f>(R207/D$7)^E$7</f>
        <v>1.4221276856810283</v>
      </c>
      <c r="T207" s="16">
        <f>(Q207/D$7)^E$7</f>
        <v>0.30990024711577457</v>
      </c>
      <c r="U207" s="35">
        <f>1-EXP(T207-S207)</f>
        <v>0.67117429432039222</v>
      </c>
      <c r="V207" s="55">
        <f>W206*(1-AG207*C$8)</f>
        <v>119.23333333333333</v>
      </c>
      <c r="W207" s="56">
        <f>V207+E207</f>
        <v>196.23333333333335</v>
      </c>
      <c r="X207" s="18">
        <f>(W207/D$8)^E$8</f>
        <v>0.12317764407834959</v>
      </c>
      <c r="Y207" s="18">
        <f>(V207/D$8)^E$8</f>
        <v>3.4922305031534845E-2</v>
      </c>
      <c r="Z207" s="38">
        <f>1-EXP(Y207-X207)</f>
        <v>8.4472922935685868E-2</v>
      </c>
      <c r="AA207" s="41">
        <f>K207*P207*U207*Z207</f>
        <v>4.6569985415677246E-3</v>
      </c>
      <c r="AB207" s="42">
        <f>1-AA207</f>
        <v>0.99534300145843224</v>
      </c>
      <c r="AC207" s="47">
        <f>(AF207*F$7)+E207+AC206</f>
        <v>271.33333333333337</v>
      </c>
      <c r="AD207" s="80">
        <v>1</v>
      </c>
      <c r="AE207" s="45">
        <v>1</v>
      </c>
      <c r="AF207" s="81">
        <v>1</v>
      </c>
      <c r="AG207" s="45">
        <v>1</v>
      </c>
      <c r="AH207" s="82">
        <v>40</v>
      </c>
    </row>
    <row r="208" spans="1:34" ht="18.75" x14ac:dyDescent="0.3">
      <c r="A208" s="132" t="s">
        <v>53</v>
      </c>
      <c r="B208" s="132"/>
      <c r="C208" s="132"/>
      <c r="D208" s="132"/>
      <c r="E208" s="132"/>
      <c r="F208" s="132"/>
      <c r="G208" s="132"/>
      <c r="H208" s="132"/>
      <c r="I208" s="132"/>
      <c r="J208" s="132"/>
      <c r="AG208" s="46"/>
    </row>
    <row r="209" spans="1:20" ht="15.75" x14ac:dyDescent="0.25">
      <c r="A209" s="19" t="s">
        <v>54</v>
      </c>
      <c r="B209" s="60" t="s">
        <v>49</v>
      </c>
      <c r="C209" s="61" t="s">
        <v>50</v>
      </c>
      <c r="D209" s="19" t="s">
        <v>82</v>
      </c>
      <c r="E209" s="60" t="s">
        <v>57</v>
      </c>
      <c r="F209" s="61" t="s">
        <v>50</v>
      </c>
      <c r="G209" s="19" t="s">
        <v>58</v>
      </c>
      <c r="H209" s="60" t="s">
        <v>61</v>
      </c>
      <c r="I209" s="61" t="s">
        <v>50</v>
      </c>
      <c r="J209" s="19" t="s">
        <v>48</v>
      </c>
      <c r="K209" s="83" t="s">
        <v>84</v>
      </c>
      <c r="L209" s="61" t="s">
        <v>50</v>
      </c>
      <c r="M209" s="61" t="s">
        <v>85</v>
      </c>
      <c r="O209" s="174" t="s">
        <v>64</v>
      </c>
      <c r="P209" s="174"/>
      <c r="Q209" s="175" t="s">
        <v>109</v>
      </c>
      <c r="R209" s="175"/>
    </row>
    <row r="210" spans="1:20" ht="24.75" x14ac:dyDescent="0.25">
      <c r="A210" s="61" t="s">
        <v>51</v>
      </c>
      <c r="B210" s="1">
        <f>AA204</f>
        <v>3.9101438569080559E-7</v>
      </c>
      <c r="C210" s="59">
        <f>MAX(AC204+1*L197-F204,0)</f>
        <v>0</v>
      </c>
      <c r="D210" s="62" t="s">
        <v>55</v>
      </c>
      <c r="E210" s="1">
        <f>AA204*AA205</f>
        <v>1.2667280932318526E-10</v>
      </c>
      <c r="F210" s="1">
        <f>MAX(AC205+2*L197-F205,0)</f>
        <v>7.3333333333333428</v>
      </c>
      <c r="G210" s="62" t="s">
        <v>59</v>
      </c>
      <c r="H210" s="1">
        <f>AA204*AA205*AA206</f>
        <v>9.6284431571384801E-14</v>
      </c>
      <c r="I210" s="1">
        <f>AC206+3*L197-F206</f>
        <v>116.33333333333334</v>
      </c>
      <c r="J210" s="62" t="s">
        <v>83</v>
      </c>
      <c r="K210" s="1">
        <f>AA204*AA205*AA206*AA207</f>
        <v>4.4839645740361638E-16</v>
      </c>
      <c r="L210" s="1">
        <f>AC207+4*L197-F207</f>
        <v>243.33333333333337</v>
      </c>
      <c r="M210" s="1">
        <f>B210*C210*AH204+E210*F210*AH205+H210*I210*AH206+K210*L210*AH207</f>
        <v>8.019586864631279E-8</v>
      </c>
      <c r="O210" s="1" t="s">
        <v>27</v>
      </c>
      <c r="P210" s="1">
        <f>2*H195</f>
        <v>3640</v>
      </c>
      <c r="Q210" s="1">
        <f>(K204*(1-P204)*(1-U204)*(1-Z204))+(P204*(1-K204)*(1-U204)*(1-Z204))+(U204*(1-K204)*(1-P204)*(1-Z204))+(Z204*(1-K204)*(1-P204)*(1-U204))</f>
        <v>0.1405459062810282</v>
      </c>
      <c r="R210" s="1">
        <f>Q210*(L$7*(J$5*K$5+L$5)+I$5)</f>
        <v>4953.5404668748388</v>
      </c>
    </row>
    <row r="211" spans="1:20" ht="24.75" x14ac:dyDescent="0.25">
      <c r="A211" s="62" t="s">
        <v>52</v>
      </c>
      <c r="B211" s="1">
        <f>AB204</f>
        <v>0.99999960898561435</v>
      </c>
      <c r="C211" s="59">
        <f>MAX(AC204-F204,0)</f>
        <v>0</v>
      </c>
      <c r="D211" s="62" t="s">
        <v>56</v>
      </c>
      <c r="E211" s="1">
        <f>AA204*AB205+AA205*AB204</f>
        <v>3.243502212512157E-4</v>
      </c>
      <c r="F211" s="1">
        <f>MAX(AC205+1*L197-F205,0)</f>
        <v>0</v>
      </c>
      <c r="G211" s="62" t="s">
        <v>60</v>
      </c>
      <c r="H211" s="1">
        <f>AA204*AA205*AB206+AA205*AA206*AB204+AA204*AA206*AB205</f>
        <v>2.4666627869213574E-7</v>
      </c>
      <c r="I211" s="1">
        <f>AC206+2*L197-F206</f>
        <v>104.33333333333334</v>
      </c>
      <c r="J211" s="62" t="s">
        <v>59</v>
      </c>
      <c r="K211">
        <f>AB204*AA205*AA206*AA207+AB205*AA204*AA206*AA207*+AB206*AA204*AA205*AA207+AB207*AA204*AA205*AA206</f>
        <v>1.1468472049955403E-9</v>
      </c>
      <c r="L211" s="1">
        <f>AC207+3*L197-F207</f>
        <v>231.33333333333337</v>
      </c>
      <c r="M211" s="1">
        <f>B211*C211*AH204+E211*F211*AH205+H211*I211*AH206+K211*L211*AH207</f>
        <v>2.84151881792697E-3</v>
      </c>
      <c r="O211" s="1" t="s">
        <v>28</v>
      </c>
      <c r="P211" s="1">
        <f>2*H196</f>
        <v>5440</v>
      </c>
      <c r="Q211" s="1">
        <f t="shared" ref="Q211:Q213" si="22">(K205*(1-P205)*(1-U205)*(1-Z205))+(P205*(1-K205)*(1-U205)*(1-Z205))+(U205*(1-K205)*(1-P205)*(1-Z205))+(Z205*(1-K205)*(1-P205)*(1-U205))</f>
        <v>0.42393182479648545</v>
      </c>
      <c r="R211" s="1">
        <f t="shared" ref="R211:R213" si="23">Q211*(L$7*(J$5*K$5+L$5)+I$5)</f>
        <v>14941.47716495213</v>
      </c>
    </row>
    <row r="212" spans="1:20" ht="24.75" x14ac:dyDescent="0.25">
      <c r="A212" s="1"/>
      <c r="B212" s="1"/>
      <c r="C212" s="1"/>
      <c r="D212" s="62" t="s">
        <v>52</v>
      </c>
      <c r="E212" s="1">
        <f>AB204*AB205</f>
        <v>0.999675649652076</v>
      </c>
      <c r="F212" s="59">
        <f>MAX(AC205-F205,0)</f>
        <v>0</v>
      </c>
      <c r="G212" s="62" t="s">
        <v>56</v>
      </c>
      <c r="H212" s="1">
        <f>AA204*AB205*AB206+AA205*AB204*AB206*+AA206*AB204*AB205</f>
        <v>6.3656620691372789E-7</v>
      </c>
      <c r="I212" s="1">
        <f>AC206+1*L197-F206</f>
        <v>92.333333333333343</v>
      </c>
      <c r="J212" s="62" t="s">
        <v>60</v>
      </c>
      <c r="K212" s="1">
        <f>AA204*AA205*AB206*AB207 + AA204*AA206*AB205*AB207 + AA204*AA207*AB205*AB206 + AA205*AA206*AB204*AB207 + AA205*AA207*AB204*AB206 + AA206*AA207*AB204*AB205</f>
        <v>5.2935201617307912E-6</v>
      </c>
      <c r="L212" s="1">
        <f>AC207+2*L197-F207</f>
        <v>219.33333333333337</v>
      </c>
      <c r="M212" s="1">
        <f>B212*C212*AH204+E212*F212*AH205+H212*I212*AH206+K212*L212*AH207</f>
        <v>5.2907207660471911E-2</v>
      </c>
      <c r="O212" s="1" t="s">
        <v>29</v>
      </c>
      <c r="P212" s="1">
        <f>3*(F197*(J195*K195+L195)+H197)</f>
        <v>42300</v>
      </c>
      <c r="Q212" s="1">
        <f t="shared" si="22"/>
        <v>0.45198401711466574</v>
      </c>
      <c r="R212" s="1">
        <f t="shared" si="23"/>
        <v>15930.176683206393</v>
      </c>
    </row>
    <row r="213" spans="1:20" ht="24.75" x14ac:dyDescent="0.25">
      <c r="A213" s="1"/>
      <c r="B213" s="1"/>
      <c r="C213" s="1"/>
      <c r="D213" s="1"/>
      <c r="E213" s="1"/>
      <c r="F213" s="1"/>
      <c r="G213" s="62" t="s">
        <v>52</v>
      </c>
      <c r="H213" s="1">
        <f>AB204*AB205*AB206</f>
        <v>0.99891579280357956</v>
      </c>
      <c r="I213" s="63">
        <f>AC206-F206</f>
        <v>80.333333333333343</v>
      </c>
      <c r="J213" s="62" t="s">
        <v>56</v>
      </c>
      <c r="K213" s="1">
        <f>AA204*AB205*AB206*AB207+AA205*AB204*AB206*AB207+AA206*AB204*AB205*AB207+AA207*AB204*AB205*AB206</f>
        <v>5.7308619176731791E-3</v>
      </c>
      <c r="L213" s="1">
        <f>AC207+1*L197-F207</f>
        <v>207.33333333333337</v>
      </c>
      <c r="M213" s="1">
        <f>B213*C213*AH204+E213*F213*AH205+H213*I213*AH206+K213*L213*AH207</f>
        <v>8874.6138372448695</v>
      </c>
      <c r="O213" s="1" t="s">
        <v>30</v>
      </c>
      <c r="P213" s="1">
        <f>1*H198</f>
        <v>4320</v>
      </c>
      <c r="Q213" s="1">
        <f t="shared" si="22"/>
        <v>0.44983831717971423</v>
      </c>
      <c r="R213" s="1">
        <f t="shared" si="23"/>
        <v>15854.551488999028</v>
      </c>
    </row>
    <row r="214" spans="1:20" ht="30" x14ac:dyDescent="0.25">
      <c r="I214" s="84"/>
      <c r="J214" s="62" t="s">
        <v>52</v>
      </c>
      <c r="K214" s="85">
        <f>AB204*AB205*AB206*AB207</f>
        <v>0.99426384341334428</v>
      </c>
      <c r="L214" s="1">
        <f>AC207+0*L197-F207</f>
        <v>195.33333333333337</v>
      </c>
      <c r="M214" s="1">
        <f>B214*C214*AH204+E214*F214*AH205+H214*I214*AH206+K214*L214*AH207</f>
        <v>7768.5148298695985</v>
      </c>
      <c r="O214" s="64" t="s">
        <v>65</v>
      </c>
      <c r="P214" s="65">
        <f>SUM(P210:P213)</f>
        <v>55700</v>
      </c>
      <c r="Q214" s="96" t="s">
        <v>108</v>
      </c>
      <c r="R214" s="97">
        <f>SUM(R210:R213)</f>
        <v>51679.745804032391</v>
      </c>
    </row>
    <row r="215" spans="1:20" x14ac:dyDescent="0.25">
      <c r="L215" s="176" t="s">
        <v>63</v>
      </c>
      <c r="M215" s="177">
        <f>SUM(M210:M214)</f>
        <v>16643.18441592114</v>
      </c>
    </row>
    <row r="216" spans="1:20" x14ac:dyDescent="0.25">
      <c r="L216" s="176"/>
      <c r="M216" s="177"/>
    </row>
    <row r="217" spans="1:20" x14ac:dyDescent="0.25">
      <c r="A217" s="178" t="s">
        <v>90</v>
      </c>
      <c r="B217" s="178"/>
      <c r="C217" s="178"/>
      <c r="D217" s="178"/>
      <c r="E217" s="178"/>
      <c r="F217" s="178"/>
      <c r="G217" s="178"/>
      <c r="H217" s="178"/>
      <c r="I217" s="178"/>
      <c r="J217" s="178"/>
      <c r="K217" s="178"/>
      <c r="L217" s="178"/>
      <c r="M217" s="178"/>
      <c r="N217" s="178"/>
    </row>
    <row r="218" spans="1:20" ht="15.75" x14ac:dyDescent="0.25">
      <c r="A218" s="87" t="s">
        <v>76</v>
      </c>
      <c r="B218" s="62" t="s">
        <v>49</v>
      </c>
      <c r="C218" s="90" t="s">
        <v>102</v>
      </c>
      <c r="D218" s="62" t="s">
        <v>88</v>
      </c>
      <c r="E218" s="87" t="s">
        <v>86</v>
      </c>
      <c r="F218" s="62" t="s">
        <v>57</v>
      </c>
      <c r="G218" s="90" t="s">
        <v>103</v>
      </c>
      <c r="H218" s="62" t="s">
        <v>88</v>
      </c>
      <c r="I218" s="87" t="s">
        <v>77</v>
      </c>
      <c r="J218" s="62" t="s">
        <v>61</v>
      </c>
      <c r="K218" s="90" t="s">
        <v>78</v>
      </c>
      <c r="L218" s="62" t="s">
        <v>88</v>
      </c>
      <c r="M218" s="87" t="s">
        <v>75</v>
      </c>
      <c r="N218" s="62" t="s">
        <v>84</v>
      </c>
      <c r="O218" s="90" t="s">
        <v>87</v>
      </c>
      <c r="P218" s="62" t="s">
        <v>88</v>
      </c>
    </row>
    <row r="219" spans="1:20" ht="24.75" x14ac:dyDescent="0.25">
      <c r="A219" s="62" t="s">
        <v>51</v>
      </c>
      <c r="B219" s="86">
        <v>3.9101438569080559E-7</v>
      </c>
      <c r="C219" s="86">
        <f>AC204+1*L197</f>
        <v>57.666666666666664</v>
      </c>
      <c r="D219" s="86">
        <f>MAX(B219*1.5*((C219-F204)*500/2),0)</f>
        <v>0</v>
      </c>
      <c r="E219" s="62" t="s">
        <v>55</v>
      </c>
      <c r="F219" s="86">
        <v>1.2667280932318526E-10</v>
      </c>
      <c r="G219" s="86">
        <f>AC205+2*L197</f>
        <v>147.33333333333334</v>
      </c>
      <c r="H219" s="86">
        <f>F219*1.5*((G219-F205)*500/2+(G219-F206)*500 + (G219-F207)*500)</f>
        <v>1.1052202613447916E-5</v>
      </c>
      <c r="I219" s="62" t="s">
        <v>59</v>
      </c>
      <c r="J219" s="86">
        <v>9.6284431571384801E-14</v>
      </c>
      <c r="K219" s="86">
        <f>AC206+3*L197</f>
        <v>222.33333333333334</v>
      </c>
      <c r="L219" s="86">
        <f>J219*1.5*((K219-G219)*500/2+(K219-G219)*500)</f>
        <v>8.1239989138355918E-9</v>
      </c>
      <c r="M219" s="62" t="s">
        <v>83</v>
      </c>
      <c r="N219" s="86">
        <v>4.4839645740361638E-16</v>
      </c>
      <c r="O219" s="86">
        <f>AC207+4*L197</f>
        <v>319.33333333333337</v>
      </c>
      <c r="P219" s="86">
        <f>N219*1.5*((O219-K219)*500/2)</f>
        <v>1.6310421138056551E-11</v>
      </c>
    </row>
    <row r="220" spans="1:20" ht="24.75" x14ac:dyDescent="0.25">
      <c r="A220" s="62" t="s">
        <v>52</v>
      </c>
      <c r="B220" s="86">
        <v>0.99999960898561435</v>
      </c>
      <c r="C220" s="88">
        <f>AC204</f>
        <v>45.666666666666664</v>
      </c>
      <c r="D220" s="86">
        <f>MAX(B220*1.5*((C220-F204)*500/2),0)</f>
        <v>0</v>
      </c>
      <c r="E220" s="62" t="s">
        <v>56</v>
      </c>
      <c r="F220" s="86">
        <v>3.243502212512157E-4</v>
      </c>
      <c r="G220" s="86">
        <f>AC205+1*L197</f>
        <v>135.33333333333334</v>
      </c>
      <c r="H220" s="86">
        <f>F220*1.5*((G220-F206)*500+(G220-F207)*500)</f>
        <v>21.569289713205851</v>
      </c>
      <c r="I220" s="62" t="s">
        <v>60</v>
      </c>
      <c r="J220" s="86">
        <v>2.4666627869213574E-7</v>
      </c>
      <c r="K220" s="86">
        <f>AC206+2*L197</f>
        <v>210.33333333333334</v>
      </c>
      <c r="L220" s="86">
        <f>J220*1.5*((K220-G220)*500/2+(K220-G220)*500)</f>
        <v>2.081246726464895E-2</v>
      </c>
      <c r="M220" s="62" t="s">
        <v>59</v>
      </c>
      <c r="N220" s="86">
        <v>1.1468472049955403E-9</v>
      </c>
      <c r="O220" s="86">
        <f>AC207+3*L197</f>
        <v>307.33333333333337</v>
      </c>
      <c r="P220" s="86">
        <f>N220*1.5*((O220-K220)*500/2)</f>
        <v>4.1716567081712797E-5</v>
      </c>
    </row>
    <row r="221" spans="1:20" x14ac:dyDescent="0.25">
      <c r="A221" s="86"/>
      <c r="B221" s="86"/>
      <c r="C221" s="89" t="s">
        <v>89</v>
      </c>
      <c r="D221" s="89">
        <f>SUM(D219:D220)</f>
        <v>0</v>
      </c>
      <c r="E221" s="62" t="s">
        <v>52</v>
      </c>
      <c r="F221" s="86">
        <v>0.999675649652076</v>
      </c>
      <c r="G221" s="86">
        <f>AC205+0*L197</f>
        <v>123.33333333333334</v>
      </c>
      <c r="H221" s="86">
        <f>F221*1.5*((G221-F206)*500+(G221-F207)*500)</f>
        <v>48484.269008125702</v>
      </c>
      <c r="I221" s="62" t="s">
        <v>56</v>
      </c>
      <c r="J221" s="86">
        <v>6.3656620691372789E-7</v>
      </c>
      <c r="K221" s="86">
        <f>AC206+1*L197</f>
        <v>198.33333333333334</v>
      </c>
      <c r="L221" s="86">
        <f>J221*1.5*((K221-G221)*500/2+(K221-G221)*500)</f>
        <v>5.3710273708345788E-2</v>
      </c>
      <c r="M221" s="62" t="s">
        <v>60</v>
      </c>
      <c r="N221" s="86">
        <v>5.2935201617307912E-6</v>
      </c>
      <c r="O221" s="86">
        <f>AC207+2*L197</f>
        <v>295.33333333333337</v>
      </c>
      <c r="P221" s="86">
        <f>N221*1.5*((O221-K221)*500/2)</f>
        <v>0.19255179588295759</v>
      </c>
    </row>
    <row r="222" spans="1:20" x14ac:dyDescent="0.25">
      <c r="A222" s="86"/>
      <c r="B222" s="86"/>
      <c r="C222" s="86"/>
      <c r="D222" s="86"/>
      <c r="E222" s="86"/>
      <c r="F222" s="86"/>
      <c r="G222" s="89" t="s">
        <v>79</v>
      </c>
      <c r="H222" s="89">
        <f>SUM(H219:H221)</f>
        <v>48505.838308891114</v>
      </c>
      <c r="I222" s="62" t="s">
        <v>52</v>
      </c>
      <c r="J222" s="86">
        <v>0.99891579280357956</v>
      </c>
      <c r="K222" s="86">
        <f>AC206+0*L197</f>
        <v>186.33333333333334</v>
      </c>
      <c r="L222" s="86">
        <f>J222*1.5*((K222-G221)*500/2+(K222-G221)*500)</f>
        <v>70798.156814953705</v>
      </c>
      <c r="M222" s="62" t="s">
        <v>56</v>
      </c>
      <c r="N222" s="86">
        <v>5.7308619176731791E-3</v>
      </c>
      <c r="O222" s="86">
        <f>AC207+1*L197</f>
        <v>283.33333333333337</v>
      </c>
      <c r="P222" s="86">
        <f>N222*1.5*((O222-K222)*500/2)</f>
        <v>208.46010225536196</v>
      </c>
    </row>
    <row r="223" spans="1:20" x14ac:dyDescent="0.25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9" t="s">
        <v>79</v>
      </c>
      <c r="L223" s="89">
        <f>SUM(L219:L222)</f>
        <v>70798.231337702804</v>
      </c>
      <c r="M223" s="62" t="s">
        <v>52</v>
      </c>
      <c r="N223" s="86">
        <v>0.99426384341334428</v>
      </c>
      <c r="O223" s="86">
        <f>AC207+0*L197</f>
        <v>271.33333333333337</v>
      </c>
      <c r="P223" s="86">
        <f>N223*1.5*((O223-K222)*500/2)</f>
        <v>31692.160008800362</v>
      </c>
      <c r="Q223" s="179" t="s">
        <v>80</v>
      </c>
      <c r="R223" s="179"/>
      <c r="S223" s="180">
        <f>D221+H222+L223+P224</f>
        <v>151204.88235116209</v>
      </c>
      <c r="T223" s="180"/>
    </row>
    <row r="224" spans="1:20" x14ac:dyDescent="0.25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9" t="s">
        <v>79</v>
      </c>
      <c r="P224" s="89">
        <f>SUM(P219:P223)</f>
        <v>31900.81270456819</v>
      </c>
      <c r="Q224" s="179"/>
      <c r="R224" s="179"/>
      <c r="S224" s="180"/>
      <c r="T224" s="180"/>
    </row>
    <row r="225" spans="1:34" x14ac:dyDescent="0.25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</row>
    <row r="226" spans="1:34" x14ac:dyDescent="0.25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</row>
    <row r="227" spans="1:34" x14ac:dyDescent="0.25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</row>
    <row r="228" spans="1:34" ht="24.75" thickBot="1" x14ac:dyDescent="0.3">
      <c r="O228" s="131" t="s">
        <v>81</v>
      </c>
      <c r="P228" s="131"/>
      <c r="Q228" s="131">
        <f>(R214+P214+M215+S223)/AC207</f>
        <v>1014.353117583964</v>
      </c>
      <c r="R228" s="131"/>
    </row>
    <row r="229" spans="1:34" x14ac:dyDescent="0.25">
      <c r="A229" s="181" t="s">
        <v>110</v>
      </c>
      <c r="B229" s="182"/>
    </row>
    <row r="230" spans="1:34" ht="15.75" thickBot="1" x14ac:dyDescent="0.3">
      <c r="A230" s="183"/>
      <c r="B230" s="184"/>
    </row>
    <row r="231" spans="1:34" ht="21" x14ac:dyDescent="0.35">
      <c r="A231" s="185" t="s">
        <v>14</v>
      </c>
      <c r="B231" s="185"/>
      <c r="C231" s="165"/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O231" s="166" t="s">
        <v>72</v>
      </c>
      <c r="P231" s="166"/>
      <c r="Q231" s="166"/>
      <c r="R231" s="166"/>
      <c r="S231" s="166"/>
      <c r="T231" s="166"/>
      <c r="U231" s="166"/>
      <c r="V231" s="166"/>
    </row>
    <row r="232" spans="1:34" ht="36" x14ac:dyDescent="0.25">
      <c r="A232" s="4" t="s">
        <v>15</v>
      </c>
      <c r="B232" s="4" t="s">
        <v>16</v>
      </c>
      <c r="C232" s="4" t="s">
        <v>31</v>
      </c>
      <c r="D232" s="6" t="s">
        <v>17</v>
      </c>
      <c r="E232" s="6" t="s">
        <v>18</v>
      </c>
      <c r="F232" s="6" t="s">
        <v>19</v>
      </c>
      <c r="G232" s="6" t="s">
        <v>20</v>
      </c>
      <c r="H232" s="6" t="s">
        <v>21</v>
      </c>
      <c r="I232" s="6" t="s">
        <v>22</v>
      </c>
      <c r="J232" s="6" t="s">
        <v>23</v>
      </c>
      <c r="K232" s="6" t="s">
        <v>24</v>
      </c>
      <c r="L232" s="6" t="s">
        <v>25</v>
      </c>
      <c r="M232" s="6" t="s">
        <v>26</v>
      </c>
      <c r="N232" s="8"/>
      <c r="O232" s="167" t="s">
        <v>32</v>
      </c>
      <c r="P232" s="167" t="s">
        <v>35</v>
      </c>
      <c r="Q232" s="167" t="s">
        <v>66</v>
      </c>
      <c r="R232" s="99" t="s">
        <v>67</v>
      </c>
      <c r="S232" s="99" t="s">
        <v>68</v>
      </c>
      <c r="T232" s="167" t="s">
        <v>69</v>
      </c>
      <c r="U232" s="71" t="s">
        <v>33</v>
      </c>
      <c r="V232" s="99" t="s">
        <v>70</v>
      </c>
    </row>
    <row r="233" spans="1:34" x14ac:dyDescent="0.25">
      <c r="A233" s="3" t="s">
        <v>27</v>
      </c>
      <c r="B233" s="3">
        <v>0</v>
      </c>
      <c r="C233" s="3">
        <v>0.3</v>
      </c>
      <c r="D233" s="3">
        <v>243</v>
      </c>
      <c r="E233" s="3">
        <v>1.73</v>
      </c>
      <c r="F233" s="3">
        <v>5</v>
      </c>
      <c r="G233" s="169">
        <v>12</v>
      </c>
      <c r="H233" s="3">
        <v>1820</v>
      </c>
      <c r="I233" s="169">
        <v>19645</v>
      </c>
      <c r="J233" s="3">
        <v>20</v>
      </c>
      <c r="K233" s="3">
        <v>40</v>
      </c>
      <c r="L233" s="3">
        <v>500</v>
      </c>
      <c r="M233" s="3">
        <v>1000</v>
      </c>
      <c r="O233" s="168"/>
      <c r="P233" s="168"/>
      <c r="Q233" s="168"/>
      <c r="R233" s="72" t="s">
        <v>71</v>
      </c>
      <c r="S233" s="72" t="s">
        <v>71</v>
      </c>
      <c r="T233" s="168"/>
      <c r="U233" s="73">
        <v>500</v>
      </c>
      <c r="V233" s="3">
        <v>1.5</v>
      </c>
    </row>
    <row r="234" spans="1:34" x14ac:dyDescent="0.25">
      <c r="A234" s="3" t="s">
        <v>28</v>
      </c>
      <c r="B234" s="3">
        <v>0</v>
      </c>
      <c r="C234" s="3">
        <v>0.3</v>
      </c>
      <c r="D234" s="3">
        <v>254</v>
      </c>
      <c r="E234" s="3">
        <v>1.88</v>
      </c>
      <c r="F234" s="3">
        <v>3</v>
      </c>
      <c r="G234" s="170"/>
      <c r="H234" s="3">
        <v>2720</v>
      </c>
      <c r="I234" s="170"/>
      <c r="J234" s="5"/>
      <c r="K234" s="5"/>
      <c r="L234" s="5"/>
      <c r="M234" s="5"/>
      <c r="O234" s="74">
        <v>1</v>
      </c>
      <c r="P234" s="74">
        <v>106</v>
      </c>
      <c r="Q234" s="74">
        <v>110</v>
      </c>
      <c r="R234" s="74">
        <v>6</v>
      </c>
      <c r="S234" s="74">
        <v>5</v>
      </c>
      <c r="T234" s="74">
        <f>R234*$U$5/60+S234</f>
        <v>55</v>
      </c>
      <c r="U234" s="75"/>
    </row>
    <row r="235" spans="1:34" x14ac:dyDescent="0.25">
      <c r="A235" s="3" t="s">
        <v>29</v>
      </c>
      <c r="B235" s="3">
        <v>0</v>
      </c>
      <c r="C235" s="3">
        <v>0.3</v>
      </c>
      <c r="D235" s="3">
        <v>143</v>
      </c>
      <c r="E235" s="3">
        <v>2.4300000000000002</v>
      </c>
      <c r="F235" s="3">
        <v>8</v>
      </c>
      <c r="G235" s="170"/>
      <c r="H235" s="3">
        <v>3700</v>
      </c>
      <c r="I235" s="170"/>
      <c r="J235" s="5"/>
      <c r="K235" s="140" t="s">
        <v>73</v>
      </c>
      <c r="L235" s="141">
        <v>12</v>
      </c>
      <c r="M235" s="140" t="s">
        <v>74</v>
      </c>
      <c r="N235" s="141">
        <v>19645</v>
      </c>
      <c r="O235" s="74">
        <v>2</v>
      </c>
      <c r="P235" s="74">
        <v>76</v>
      </c>
      <c r="Q235" s="74">
        <v>40</v>
      </c>
      <c r="R235" s="74">
        <v>9</v>
      </c>
      <c r="S235" s="74">
        <v>2</v>
      </c>
      <c r="T235" s="74">
        <f t="shared" ref="T235:T237" si="24">R235*$U$5/60+S235</f>
        <v>77</v>
      </c>
      <c r="U235" s="75"/>
    </row>
    <row r="236" spans="1:34" x14ac:dyDescent="0.25">
      <c r="A236" s="3" t="s">
        <v>30</v>
      </c>
      <c r="B236" s="3">
        <v>0</v>
      </c>
      <c r="C236" s="3">
        <v>0.3</v>
      </c>
      <c r="D236" s="3">
        <v>449</v>
      </c>
      <c r="E236" s="3">
        <v>2.5299999999999998</v>
      </c>
      <c r="F236" s="3">
        <v>4</v>
      </c>
      <c r="G236" s="171"/>
      <c r="H236" s="3">
        <v>4320</v>
      </c>
      <c r="I236" s="171"/>
      <c r="J236" s="5"/>
      <c r="K236" s="140"/>
      <c r="L236" s="141"/>
      <c r="M236" s="140"/>
      <c r="N236" s="141"/>
      <c r="O236" s="74">
        <v>3</v>
      </c>
      <c r="P236" s="74">
        <v>95</v>
      </c>
      <c r="Q236" s="74">
        <v>67</v>
      </c>
      <c r="R236" s="74">
        <v>5</v>
      </c>
      <c r="S236" s="74">
        <v>4</v>
      </c>
      <c r="T236" s="74">
        <f t="shared" si="24"/>
        <v>45.666666666666664</v>
      </c>
      <c r="U236" s="75"/>
    </row>
    <row r="237" spans="1:34" ht="15.75" thickBo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O237" s="74">
        <v>4</v>
      </c>
      <c r="P237" s="74">
        <v>140</v>
      </c>
      <c r="Q237" s="94">
        <v>85</v>
      </c>
      <c r="R237" s="94">
        <v>8</v>
      </c>
      <c r="S237" s="94">
        <v>3</v>
      </c>
      <c r="T237" s="74">
        <f t="shared" si="24"/>
        <v>69.666666666666671</v>
      </c>
    </row>
    <row r="238" spans="1:34" x14ac:dyDescent="0.25">
      <c r="A238" s="142" t="s">
        <v>36</v>
      </c>
      <c r="B238" s="144" t="s">
        <v>106</v>
      </c>
      <c r="C238" s="144"/>
      <c r="D238" s="144"/>
      <c r="E238" s="144"/>
      <c r="F238" s="20" t="s">
        <v>27</v>
      </c>
      <c r="G238" s="20" t="s">
        <v>28</v>
      </c>
      <c r="H238" s="20" t="s">
        <v>29</v>
      </c>
      <c r="I238" s="20" t="s">
        <v>30</v>
      </c>
    </row>
    <row r="239" spans="1:34" ht="15.75" thickBot="1" x14ac:dyDescent="0.3">
      <c r="A239" s="143"/>
      <c r="B239" s="145"/>
      <c r="C239" s="145"/>
      <c r="D239" s="145"/>
      <c r="E239" s="145"/>
      <c r="F239" s="20">
        <v>126</v>
      </c>
      <c r="G239" s="26">
        <v>91</v>
      </c>
      <c r="H239" s="26">
        <v>67</v>
      </c>
      <c r="I239" s="26">
        <v>201</v>
      </c>
    </row>
    <row r="240" spans="1:34" ht="15.75" thickBot="1" x14ac:dyDescent="0.3">
      <c r="A240" s="143"/>
      <c r="B240" s="145"/>
      <c r="C240" s="145"/>
      <c r="D240" s="145"/>
      <c r="E240" s="145"/>
      <c r="F240" s="7"/>
      <c r="G240" s="146" t="s">
        <v>27</v>
      </c>
      <c r="H240" s="147"/>
      <c r="I240" s="147"/>
      <c r="J240" s="147"/>
      <c r="K240" s="148"/>
      <c r="L240" s="149" t="s">
        <v>28</v>
      </c>
      <c r="M240" s="150"/>
      <c r="N240" s="150"/>
      <c r="O240" s="150"/>
      <c r="P240" s="151"/>
      <c r="Q240" s="152" t="s">
        <v>29</v>
      </c>
      <c r="R240" s="153"/>
      <c r="S240" s="153"/>
      <c r="T240" s="153"/>
      <c r="U240" s="154"/>
      <c r="V240" s="155" t="s">
        <v>30</v>
      </c>
      <c r="W240" s="156"/>
      <c r="X240" s="156"/>
      <c r="Y240" s="156"/>
      <c r="Z240" s="157"/>
      <c r="AA240" s="158" t="s">
        <v>42</v>
      </c>
      <c r="AB240" s="159"/>
      <c r="AC240" s="160" t="s">
        <v>44</v>
      </c>
      <c r="AD240" s="162" t="s">
        <v>47</v>
      </c>
      <c r="AE240" s="163"/>
      <c r="AF240" s="163"/>
      <c r="AG240" s="164"/>
      <c r="AH240" s="138" t="s">
        <v>62</v>
      </c>
    </row>
    <row r="241" spans="1:34" ht="36.75" x14ac:dyDescent="0.25">
      <c r="A241" s="21" t="s">
        <v>32</v>
      </c>
      <c r="B241" s="22" t="s">
        <v>37</v>
      </c>
      <c r="C241" s="23" t="s">
        <v>33</v>
      </c>
      <c r="D241" s="22" t="s">
        <v>38</v>
      </c>
      <c r="E241" s="22" t="s">
        <v>34</v>
      </c>
      <c r="F241" s="25" t="s">
        <v>35</v>
      </c>
      <c r="G241" s="27" t="s">
        <v>39</v>
      </c>
      <c r="H241" s="10" t="s">
        <v>40</v>
      </c>
      <c r="I241" s="10" t="s">
        <v>45</v>
      </c>
      <c r="J241" s="10" t="s">
        <v>46</v>
      </c>
      <c r="K241" s="28" t="s">
        <v>41</v>
      </c>
      <c r="L241" s="30" t="s">
        <v>39</v>
      </c>
      <c r="M241" s="13" t="s">
        <v>40</v>
      </c>
      <c r="N241" s="13" t="s">
        <v>45</v>
      </c>
      <c r="O241" s="13" t="s">
        <v>46</v>
      </c>
      <c r="P241" s="31" t="s">
        <v>41</v>
      </c>
      <c r="Q241" s="33" t="s">
        <v>39</v>
      </c>
      <c r="R241" s="12" t="s">
        <v>40</v>
      </c>
      <c r="S241" s="12" t="s">
        <v>45</v>
      </c>
      <c r="T241" s="12" t="s">
        <v>46</v>
      </c>
      <c r="U241" s="34" t="s">
        <v>41</v>
      </c>
      <c r="V241" s="36" t="s">
        <v>39</v>
      </c>
      <c r="W241" s="11" t="s">
        <v>40</v>
      </c>
      <c r="X241" s="11" t="s">
        <v>45</v>
      </c>
      <c r="Y241" s="11" t="s">
        <v>46</v>
      </c>
      <c r="Z241" s="37" t="s">
        <v>41</v>
      </c>
      <c r="AA241" s="39" t="s">
        <v>41</v>
      </c>
      <c r="AB241" s="40" t="s">
        <v>43</v>
      </c>
      <c r="AC241" s="161"/>
      <c r="AD241" s="43" t="s">
        <v>27</v>
      </c>
      <c r="AE241" s="1" t="s">
        <v>28</v>
      </c>
      <c r="AF241" s="1" t="s">
        <v>29</v>
      </c>
      <c r="AG241" s="1" t="s">
        <v>30</v>
      </c>
      <c r="AH241" s="139"/>
    </row>
    <row r="242" spans="1:34" x14ac:dyDescent="0.25">
      <c r="A242" s="24">
        <v>1</v>
      </c>
      <c r="B242" s="9">
        <v>6</v>
      </c>
      <c r="C242" s="9">
        <v>500</v>
      </c>
      <c r="D242" s="9">
        <v>5</v>
      </c>
      <c r="E242" s="48">
        <f>B242*C242/60+D242</f>
        <v>55</v>
      </c>
      <c r="F242" s="14">
        <v>106</v>
      </c>
      <c r="G242" s="49">
        <f>B$5*(1-AD242*C$5)</f>
        <v>0</v>
      </c>
      <c r="H242" s="50">
        <f>G242+E242</f>
        <v>55</v>
      </c>
      <c r="I242" s="15">
        <f>(H242/D$5)^E$5</f>
        <v>7.6511831764011648E-2</v>
      </c>
      <c r="J242" s="15">
        <f>(G242/D$5)^E$5</f>
        <v>0</v>
      </c>
      <c r="K242" s="29">
        <f>1-EXP(J242-I242)</f>
        <v>7.3658046035411151E-2</v>
      </c>
      <c r="L242" s="51">
        <f>B$6*(1-AE242*C$6)</f>
        <v>0</v>
      </c>
      <c r="M242" s="52">
        <f>L242+E242</f>
        <v>55</v>
      </c>
      <c r="N242" s="17">
        <f>(M242/D$6)^E$6</f>
        <v>5.633709759436846E-2</v>
      </c>
      <c r="O242" s="17">
        <f>(L242/D$6)^E$6</f>
        <v>0</v>
      </c>
      <c r="P242" s="32">
        <f>1-EXP(O242-N242)</f>
        <v>5.4779549360660096E-2</v>
      </c>
      <c r="Q242" s="53">
        <f>B$7*(1-AF242*C$7)</f>
        <v>0</v>
      </c>
      <c r="R242" s="54">
        <f>Q242+E242</f>
        <v>55</v>
      </c>
      <c r="S242" s="16">
        <f>(R242/D$7)^E$7</f>
        <v>9.8087748172662498E-2</v>
      </c>
      <c r="T242" s="16">
        <f>(Q242/D$7)^E$7</f>
        <v>0</v>
      </c>
      <c r="U242" s="35">
        <f>1-EXP(T242-S242)</f>
        <v>9.3430649540250821E-2</v>
      </c>
      <c r="V242" s="55">
        <f>B$8*(1-AG242*C$8)</f>
        <v>0</v>
      </c>
      <c r="W242" s="56">
        <f>V242+E242</f>
        <v>55</v>
      </c>
      <c r="X242" s="18">
        <f>(W242/D$8)^E$8</f>
        <v>4.9309927237744132E-3</v>
      </c>
      <c r="Y242" s="18">
        <f>(V242/D$8)^E$8</f>
        <v>0</v>
      </c>
      <c r="Z242" s="38">
        <f>1-EXP(Y242-X242)</f>
        <v>4.9188553371368737E-3</v>
      </c>
      <c r="AA242" s="41">
        <f>K242*P242*U242*Z242</f>
        <v>1.8543515323034395E-6</v>
      </c>
      <c r="AB242" s="42">
        <f>1-AA242</f>
        <v>0.99999814564846767</v>
      </c>
      <c r="AC242" s="47">
        <f>(AD242*F$5+AE242*F$6+AF242*F$7+AG242*F$8)+E242</f>
        <v>55</v>
      </c>
      <c r="AD242" s="43">
        <v>0</v>
      </c>
      <c r="AE242" s="1">
        <v>0</v>
      </c>
      <c r="AF242" s="1">
        <v>0</v>
      </c>
      <c r="AG242" s="1">
        <v>0</v>
      </c>
      <c r="AH242" s="44">
        <v>110</v>
      </c>
    </row>
    <row r="243" spans="1:34" x14ac:dyDescent="0.25">
      <c r="A243" s="24">
        <v>3</v>
      </c>
      <c r="B243" s="9">
        <v>5</v>
      </c>
      <c r="C243" s="9">
        <v>500</v>
      </c>
      <c r="D243" s="9">
        <v>4</v>
      </c>
      <c r="E243" s="9">
        <f t="shared" ref="E243:E245" si="25">B243*C243/60+D243</f>
        <v>45.666666666666664</v>
      </c>
      <c r="F243" s="14">
        <v>95</v>
      </c>
      <c r="G243" s="49">
        <f>H242*(1-AD243*C$5)</f>
        <v>55</v>
      </c>
      <c r="H243" s="50">
        <f>G243+E243</f>
        <v>100.66666666666666</v>
      </c>
      <c r="I243" s="15">
        <f>(H243/D$5)^E$5</f>
        <v>0.21771752434165836</v>
      </c>
      <c r="J243" s="15">
        <f>(G243/D$5)^E$5</f>
        <v>7.6511831764011648E-2</v>
      </c>
      <c r="K243" s="29">
        <f>1-EXP(J243-I243)</f>
        <v>0.13168931173612675</v>
      </c>
      <c r="L243" s="51">
        <f>M242*(1-AE243*C$6)</f>
        <v>55</v>
      </c>
      <c r="M243" s="52">
        <f>L243+E243</f>
        <v>100.66666666666666</v>
      </c>
      <c r="N243" s="17">
        <f>(M243/D$6)^E$6</f>
        <v>0.17552448466860393</v>
      </c>
      <c r="O243" s="17">
        <f>(L243/D$6)^E$6</f>
        <v>5.633709759436846E-2</v>
      </c>
      <c r="P243" s="32">
        <f>1-EXP(O243-N243)</f>
        <v>0.11235854735808759</v>
      </c>
      <c r="Q243" s="53">
        <f>R242*(1-AF243*C$7)</f>
        <v>38.5</v>
      </c>
      <c r="R243" s="54">
        <f>Q243+E243</f>
        <v>84.166666666666657</v>
      </c>
      <c r="S243" s="16">
        <f>(R243/D$7)^E$7</f>
        <v>0.27581884743870322</v>
      </c>
      <c r="T243" s="16">
        <f>(Q243/D$7)^E$7</f>
        <v>4.1229019029394576E-2</v>
      </c>
      <c r="U243" s="35">
        <f>1-EXP(T243-S243)</f>
        <v>0.20910481415611459</v>
      </c>
      <c r="V243" s="55">
        <f>W242*(1-AG243*C$8)</f>
        <v>55</v>
      </c>
      <c r="W243" s="56">
        <f>V243+E243</f>
        <v>100.66666666666666</v>
      </c>
      <c r="X243" s="18">
        <f>(W243/D$8)^E$8</f>
        <v>2.275713304339216E-2</v>
      </c>
      <c r="Y243" s="18">
        <f>(V243/D$8)^E$8</f>
        <v>4.9309927237744132E-3</v>
      </c>
      <c r="Z243" s="38">
        <f>1-EXP(Y243-X243)</f>
        <v>1.766819459368596E-2</v>
      </c>
      <c r="AA243" s="41">
        <f>K243*P243*U243*Z243</f>
        <v>5.4665440116646997E-5</v>
      </c>
      <c r="AB243" s="42">
        <f>1-AA243</f>
        <v>0.99994533455988333</v>
      </c>
      <c r="AC243" s="47">
        <f>AF243*F$7+E243+AC242</f>
        <v>108.66666666666666</v>
      </c>
      <c r="AD243" s="43">
        <v>0</v>
      </c>
      <c r="AE243" s="1">
        <v>0</v>
      </c>
      <c r="AF243" s="1">
        <v>1</v>
      </c>
      <c r="AG243" s="1">
        <v>0</v>
      </c>
      <c r="AH243" s="44">
        <v>67</v>
      </c>
    </row>
    <row r="244" spans="1:34" x14ac:dyDescent="0.25">
      <c r="A244" s="57">
        <v>2</v>
      </c>
      <c r="B244" s="58">
        <v>9</v>
      </c>
      <c r="C244" s="58">
        <v>500</v>
      </c>
      <c r="D244" s="58">
        <v>2</v>
      </c>
      <c r="E244" s="66">
        <f t="shared" si="25"/>
        <v>77</v>
      </c>
      <c r="F244" s="67">
        <v>76</v>
      </c>
      <c r="G244" s="68">
        <f>H243*(1-AD244*C$5)</f>
        <v>70.466666666666654</v>
      </c>
      <c r="H244" s="69">
        <f>G244+E244</f>
        <v>147.46666666666664</v>
      </c>
      <c r="I244" s="70">
        <f>(H244/D$5)^E$5</f>
        <v>0.42144560641664969</v>
      </c>
      <c r="J244" s="70">
        <f>(G244/D$5)^E$5</f>
        <v>0.11746622079432449</v>
      </c>
      <c r="K244" s="29">
        <f>1-EXP(J244-I244)</f>
        <v>0.26212392285005737</v>
      </c>
      <c r="L244" s="51">
        <f>M243*(1-AE244*C$6)</f>
        <v>70.466666666666654</v>
      </c>
      <c r="M244" s="52">
        <f>L244+E244</f>
        <v>147.46666666666664</v>
      </c>
      <c r="N244" s="17">
        <f>(M244/D$6)^E$6</f>
        <v>0.35979661759585591</v>
      </c>
      <c r="O244" s="17">
        <f>(L244/D$6)^E$6</f>
        <v>8.9768097666615101E-2</v>
      </c>
      <c r="P244" s="32">
        <f>1-EXP(O244-N244)</f>
        <v>0.23664227688185091</v>
      </c>
      <c r="Q244" s="53">
        <f>R243*(1-AF244*C$7)</f>
        <v>58.916666666666657</v>
      </c>
      <c r="R244" s="54">
        <f>Q244+E244</f>
        <v>135.91666666666666</v>
      </c>
      <c r="S244" s="16">
        <f>(R244/D$7)^E$7</f>
        <v>0.88386538606469833</v>
      </c>
      <c r="T244" s="16">
        <f>(Q244/D$7)^E$7</f>
        <v>0.11593436205405039</v>
      </c>
      <c r="U244" s="35">
        <f>1-EXP(T244-S244)</f>
        <v>0.53602797708273231</v>
      </c>
      <c r="V244" s="55">
        <f>W243*(1-AG244*C$8)</f>
        <v>100.66666666666666</v>
      </c>
      <c r="W244" s="56">
        <f>V244+E244</f>
        <v>177.66666666666666</v>
      </c>
      <c r="X244" s="18">
        <f>(W244/D$8)^E$8</f>
        <v>9.5789922449281015E-2</v>
      </c>
      <c r="Y244" s="18">
        <f>(V244/D$8)^E$8</f>
        <v>2.275713304339216E-2</v>
      </c>
      <c r="Z244" s="38">
        <f>1-EXP(Y244-X244)</f>
        <v>7.0429650533415211E-2</v>
      </c>
      <c r="AA244" s="41">
        <f>K244*P244*U244*Z244</f>
        <v>2.3417578521191642E-3</v>
      </c>
      <c r="AB244" s="42">
        <f>1-AA244</f>
        <v>0.99765824214788079</v>
      </c>
      <c r="AC244" s="47">
        <f>(AF244*F$7)+E244+AC243</f>
        <v>193.66666666666666</v>
      </c>
      <c r="AD244" s="77">
        <v>1</v>
      </c>
      <c r="AE244" s="78">
        <v>1</v>
      </c>
      <c r="AF244" s="78">
        <v>1</v>
      </c>
      <c r="AG244" s="78">
        <v>0</v>
      </c>
      <c r="AH244" s="79">
        <v>40</v>
      </c>
    </row>
    <row r="245" spans="1:34" ht="15.75" thickBot="1" x14ac:dyDescent="0.3">
      <c r="A245" s="76">
        <v>4</v>
      </c>
      <c r="B245" s="58">
        <v>8</v>
      </c>
      <c r="C245" s="58">
        <v>500</v>
      </c>
      <c r="D245" s="58">
        <v>3</v>
      </c>
      <c r="E245" s="66">
        <f t="shared" si="25"/>
        <v>69.666666666666671</v>
      </c>
      <c r="F245" s="67">
        <v>140</v>
      </c>
      <c r="G245" s="68">
        <f>H244*(1-AD245*C$5)</f>
        <v>103.22666666666665</v>
      </c>
      <c r="H245" s="69">
        <f>G245+E245</f>
        <v>172.89333333333332</v>
      </c>
      <c r="I245" s="70">
        <f>(H245/D$5)^E$5</f>
        <v>0.55495467561038181</v>
      </c>
      <c r="J245" s="70">
        <f>(G245/D$5)^E$5</f>
        <v>0.22738464809313327</v>
      </c>
      <c r="K245" s="29">
        <f>1-EXP(J245-I245)</f>
        <v>0.27932717742005098</v>
      </c>
      <c r="L245" s="51">
        <f>M244*(1-AE245*C$6)</f>
        <v>103.22666666666665</v>
      </c>
      <c r="M245" s="52">
        <f>L245+E245</f>
        <v>172.89333333333332</v>
      </c>
      <c r="N245" s="17">
        <f>(M245/D$6)^E$6</f>
        <v>0.48521667557272297</v>
      </c>
      <c r="O245" s="17">
        <f>(L245/D$6)^E$6</f>
        <v>0.18400998566919444</v>
      </c>
      <c r="P245" s="32">
        <f>1-EXP(O245-N245)</f>
        <v>0.26007517804950775</v>
      </c>
      <c r="Q245" s="53">
        <f>R244*(1-AF245*C$7)</f>
        <v>95.141666666666652</v>
      </c>
      <c r="R245" s="54">
        <f>Q245+E245</f>
        <v>164.80833333333334</v>
      </c>
      <c r="S245" s="16">
        <f>(R245/D$7)^E$7</f>
        <v>1.4118638092413516</v>
      </c>
      <c r="T245" s="16">
        <f>(Q245/D$7)^E$7</f>
        <v>0.37151329804552347</v>
      </c>
      <c r="U245" s="35">
        <f>1-EXP(T245-S245)</f>
        <v>0.64666918615461577</v>
      </c>
      <c r="V245" s="55">
        <f>W244*(1-AG245*C$8)</f>
        <v>124.36666666666665</v>
      </c>
      <c r="W245" s="56">
        <f>V245+E245</f>
        <v>194.0333333333333</v>
      </c>
      <c r="X245" s="18">
        <f>(W245/D$8)^E$8</f>
        <v>0.11971371522436358</v>
      </c>
      <c r="Y245" s="18">
        <f>(V245/D$8)^E$8</f>
        <v>3.8852401036237806E-2</v>
      </c>
      <c r="Z245" s="38">
        <f>1-EXP(Y245-X245)</f>
        <v>7.7678404505555187E-2</v>
      </c>
      <c r="AA245" s="41">
        <f>K245*P245*U245*Z245</f>
        <v>3.6491739111348172E-3</v>
      </c>
      <c r="AB245" s="42">
        <f>1-AA245</f>
        <v>0.99635082608886516</v>
      </c>
      <c r="AC245" s="47">
        <f>(AF245*F$7)+E245+AC244</f>
        <v>271.33333333333331</v>
      </c>
      <c r="AD245" s="80">
        <v>1</v>
      </c>
      <c r="AE245" s="45">
        <v>1</v>
      </c>
      <c r="AF245" s="81">
        <v>1</v>
      </c>
      <c r="AG245" s="45">
        <v>1</v>
      </c>
      <c r="AH245" s="82">
        <v>85</v>
      </c>
    </row>
    <row r="246" spans="1:34" ht="18.75" x14ac:dyDescent="0.3">
      <c r="A246" s="132" t="s">
        <v>53</v>
      </c>
      <c r="B246" s="132"/>
      <c r="C246" s="132"/>
      <c r="D246" s="132"/>
      <c r="E246" s="132"/>
      <c r="F246" s="132"/>
      <c r="G246" s="132"/>
      <c r="H246" s="132"/>
      <c r="I246" s="132"/>
      <c r="J246" s="132"/>
      <c r="AG246" s="46"/>
    </row>
    <row r="247" spans="1:34" ht="15.75" x14ac:dyDescent="0.25">
      <c r="A247" s="19" t="s">
        <v>58</v>
      </c>
      <c r="B247" s="60" t="s">
        <v>49</v>
      </c>
      <c r="C247" s="61" t="s">
        <v>50</v>
      </c>
      <c r="D247" s="19" t="s">
        <v>54</v>
      </c>
      <c r="E247" s="60" t="s">
        <v>57</v>
      </c>
      <c r="F247" s="61" t="s">
        <v>50</v>
      </c>
      <c r="G247" s="19" t="s">
        <v>48</v>
      </c>
      <c r="H247" s="60" t="s">
        <v>61</v>
      </c>
      <c r="I247" s="61" t="s">
        <v>50</v>
      </c>
      <c r="J247" s="19" t="s">
        <v>82</v>
      </c>
      <c r="K247" s="83" t="s">
        <v>84</v>
      </c>
      <c r="L247" s="61" t="s">
        <v>50</v>
      </c>
      <c r="M247" s="61" t="s">
        <v>85</v>
      </c>
      <c r="O247" s="174" t="s">
        <v>64</v>
      </c>
      <c r="P247" s="174"/>
      <c r="Q247" s="175" t="s">
        <v>109</v>
      </c>
      <c r="R247" s="175"/>
    </row>
    <row r="248" spans="1:34" ht="24.75" x14ac:dyDescent="0.25">
      <c r="A248" s="61" t="s">
        <v>51</v>
      </c>
      <c r="B248" s="1">
        <f>AA242</f>
        <v>1.8543515323034395E-6</v>
      </c>
      <c r="C248" s="59">
        <f>MAX(AC242+1*L235-F242,0)</f>
        <v>0</v>
      </c>
      <c r="D248" s="62" t="s">
        <v>55</v>
      </c>
      <c r="E248" s="1">
        <f>AA242*AA243</f>
        <v>1.0136894264434628E-10</v>
      </c>
      <c r="F248" s="1">
        <f>MAX(AC243+2*L235-F243,0)</f>
        <v>37.666666666666657</v>
      </c>
      <c r="G248" s="62" t="s">
        <v>59</v>
      </c>
      <c r="H248" s="1">
        <f>AA242*AA243*AA244</f>
        <v>2.3738151739841506E-13</v>
      </c>
      <c r="I248" s="1">
        <f>AC244+3*L235-F244</f>
        <v>153.66666666666666</v>
      </c>
      <c r="J248" s="62" t="s">
        <v>83</v>
      </c>
      <c r="K248" s="1">
        <f>AA242*AA243*AA244*AA245</f>
        <v>8.6624644027589195E-16</v>
      </c>
      <c r="L248" s="1">
        <f>AC245+4*L235-F245</f>
        <v>179.33333333333331</v>
      </c>
      <c r="M248" s="1">
        <f>B248*C248*AH242+E248*F248*AH243+H248*I248*AH244+K248*L248*AH245</f>
        <v>2.5729373113029535E-7</v>
      </c>
      <c r="O248" s="1" t="s">
        <v>27</v>
      </c>
      <c r="P248" s="1">
        <f>2*H233</f>
        <v>3640</v>
      </c>
      <c r="Q248" s="1">
        <f>(K242*(1-P242)*(1-U242)*(1-Z242))+(P242*(1-K242)*(1-U242)*(1-Z242))+(U242*(1-K242)*(1-P242)*(1-Z242))+(Z242*(1-K242)*(1-P242)*(1-U242))</f>
        <v>0.19389466846386108</v>
      </c>
      <c r="R248" s="1">
        <f>Q248*(L$7*(J$5*K$5+L$5)+I$5)</f>
        <v>6833.8175900087836</v>
      </c>
    </row>
    <row r="249" spans="1:34" ht="24.75" x14ac:dyDescent="0.25">
      <c r="A249" s="62" t="s">
        <v>52</v>
      </c>
      <c r="B249" s="1">
        <f>AB242</f>
        <v>0.99999814564846767</v>
      </c>
      <c r="C249" s="59">
        <f>MAX(AC242-F242,0)</f>
        <v>0</v>
      </c>
      <c r="D249" s="62" t="s">
        <v>56</v>
      </c>
      <c r="E249" s="1">
        <f>AA242*AB243+AA243*AB242</f>
        <v>5.6519588911065149E-5</v>
      </c>
      <c r="F249" s="1">
        <f>MAX(AC243+1*L235-F243,0)</f>
        <v>25.666666666666657</v>
      </c>
      <c r="G249" s="62" t="s">
        <v>60</v>
      </c>
      <c r="H249" s="1">
        <f>AA242*AA243*AB244+AA243*AA244*AB242+AA242*AA244*AB243</f>
        <v>1.3245632269216098E-7</v>
      </c>
      <c r="I249" s="1">
        <f>AC244+2*L235-F244</f>
        <v>141.66666666666666</v>
      </c>
      <c r="J249" s="62" t="s">
        <v>59</v>
      </c>
      <c r="K249">
        <f>AB242*AA243*AA244*AA245+AB243*AA242*AA244*AA245*+AB244*AA242*AA243*AA245+AB245*AA242*AA243*AA244</f>
        <v>4.6737816498526914E-10</v>
      </c>
      <c r="L249" s="1">
        <f>AC245+3*L235-F245</f>
        <v>167.33333333333331</v>
      </c>
      <c r="M249" s="1">
        <f>B249*C249*AH242+E249*F249*AH243+H249*I249*AH244+K249*L249*AH245</f>
        <v>9.7952086568083893E-2</v>
      </c>
      <c r="O249" s="1" t="s">
        <v>28</v>
      </c>
      <c r="P249" s="1">
        <f>2*H234</f>
        <v>5440</v>
      </c>
      <c r="Q249" s="1">
        <f t="shared" ref="Q249:Q251" si="26">(K243*(1-P243)*(1-U243)*(1-Z243))+(P243*(1-K243)*(1-U243)*(1-Z243))+(U243*(1-K243)*(1-P243)*(1-Z243))+(Z243*(1-K243)*(1-P243)*(1-U243))</f>
        <v>0.33570461654429157</v>
      </c>
      <c r="R249" s="1">
        <f t="shared" ref="R249:R251" si="27">Q249*(L$7*(J$5*K$5+L$5)+I$5)</f>
        <v>11831.909210103557</v>
      </c>
    </row>
    <row r="250" spans="1:34" ht="24.75" x14ac:dyDescent="0.25">
      <c r="A250" s="1"/>
      <c r="B250" s="1"/>
      <c r="C250" s="1"/>
      <c r="D250" s="62" t="s">
        <v>52</v>
      </c>
      <c r="E250" s="1">
        <f>AB242*AB243</f>
        <v>0.99994348030971991</v>
      </c>
      <c r="F250" s="59">
        <f>MAX(AC243-F243,0)</f>
        <v>13.666666666666657</v>
      </c>
      <c r="G250" s="62" t="s">
        <v>56</v>
      </c>
      <c r="H250" s="1">
        <f>AA242*AB243*AB244+AA243*AB242*AB244*+AA244*AB242*AB243</f>
        <v>1.9776139510052942E-6</v>
      </c>
      <c r="I250" s="1">
        <f>AC244+1*L235-F244</f>
        <v>129.66666666666666</v>
      </c>
      <c r="J250" s="62" t="s">
        <v>60</v>
      </c>
      <c r="K250" s="1">
        <f>AA242*AA243*AB244*AB245 + AA242*AA244*AB243*AB245 + AA242*AA245*AB243*AB244 + AA243*AA244*AB242*AB245 + AA243*AA245*AB242*AB244 + AA244*AA245*AB242*AB243</f>
        <v>8.8827384609185054E-6</v>
      </c>
      <c r="L250" s="1">
        <f>AC245+2*L235-F245</f>
        <v>155.33333333333331</v>
      </c>
      <c r="M250" s="1">
        <f>B250*C250*AH242+E250*F250*AH243+H250*I250*AH244+K250*L250*AH245</f>
        <v>915.74245245143777</v>
      </c>
      <c r="O250" s="1" t="s">
        <v>29</v>
      </c>
      <c r="P250" s="1">
        <f>3*(F235*(J233*K233+L233)+H235)</f>
        <v>42300</v>
      </c>
      <c r="Q250" s="1">
        <f t="shared" si="26"/>
        <v>0.46067556750807259</v>
      </c>
      <c r="R250" s="1">
        <f t="shared" si="27"/>
        <v>16236.510376822018</v>
      </c>
    </row>
    <row r="251" spans="1:34" ht="24.75" x14ac:dyDescent="0.25">
      <c r="A251" s="1"/>
      <c r="B251" s="1"/>
      <c r="C251" s="1"/>
      <c r="D251" s="1"/>
      <c r="E251" s="1"/>
      <c r="F251" s="1"/>
      <c r="G251" s="62" t="s">
        <v>52</v>
      </c>
      <c r="H251" s="1">
        <f>AB242*AB243*AB244</f>
        <v>0.99760185481302921</v>
      </c>
      <c r="I251" s="63">
        <f>AC244-F244</f>
        <v>117.66666666666666</v>
      </c>
      <c r="J251" s="62" t="s">
        <v>56</v>
      </c>
      <c r="K251" s="1">
        <f>AA242*AB243*AB244*AB245+AA243*AB242*AB244*AB245+AA244*AB242*AB243*AB245+AA245*AB242*AB243*AB244</f>
        <v>6.0296846271996121E-3</v>
      </c>
      <c r="L251" s="1">
        <f>AC245+1*L235-F245</f>
        <v>143.33333333333331</v>
      </c>
      <c r="M251" s="1">
        <f>B251*C251*AH242+E251*F251*AH243+H251*I251*AH244+K251*L251*AH245</f>
        <v>4768.8410543613727</v>
      </c>
      <c r="O251" s="1" t="s">
        <v>30</v>
      </c>
      <c r="P251" s="1">
        <f>1*H236</f>
        <v>4320</v>
      </c>
      <c r="Q251" s="1">
        <f t="shared" si="26"/>
        <v>0.46111622316362422</v>
      </c>
      <c r="R251" s="1">
        <f t="shared" si="27"/>
        <v>16252.041285401936</v>
      </c>
    </row>
    <row r="252" spans="1:34" ht="30" x14ac:dyDescent="0.25">
      <c r="I252" s="84"/>
      <c r="J252" s="62" t="s">
        <v>52</v>
      </c>
      <c r="K252" s="85">
        <f>AB242*AB243*AB244*AB245</f>
        <v>0.99396143215074573</v>
      </c>
      <c r="L252" s="1">
        <f>AC245+0*L235-F245</f>
        <v>131.33333333333331</v>
      </c>
      <c r="M252" s="1">
        <f>B252*C252*AH242+E252*F252*AH243+H252*I252*AH244+K252*L252*AH245</f>
        <v>11095.922787576155</v>
      </c>
      <c r="O252" s="64" t="s">
        <v>65</v>
      </c>
      <c r="P252" s="65">
        <f>SUM(P248:P251)</f>
        <v>55700</v>
      </c>
      <c r="Q252" s="96" t="s">
        <v>108</v>
      </c>
      <c r="R252" s="97">
        <f>SUM(R248:R251)</f>
        <v>51154.278462336297</v>
      </c>
    </row>
    <row r="253" spans="1:34" x14ac:dyDescent="0.25">
      <c r="L253" s="176" t="s">
        <v>63</v>
      </c>
      <c r="M253" s="177">
        <f>SUM(M248:M252)</f>
        <v>16780.60424673283</v>
      </c>
    </row>
    <row r="254" spans="1:34" x14ac:dyDescent="0.25">
      <c r="L254" s="176"/>
      <c r="M254" s="177"/>
    </row>
    <row r="255" spans="1:34" x14ac:dyDescent="0.25">
      <c r="A255" s="178" t="s">
        <v>90</v>
      </c>
      <c r="B255" s="178"/>
      <c r="C255" s="178"/>
      <c r="D255" s="178"/>
      <c r="E255" s="178"/>
      <c r="F255" s="178"/>
      <c r="G255" s="178"/>
      <c r="H255" s="178"/>
      <c r="I255" s="178"/>
      <c r="J255" s="178"/>
      <c r="K255" s="178"/>
      <c r="L255" s="178"/>
      <c r="M255" s="178"/>
      <c r="N255" s="178"/>
    </row>
    <row r="256" spans="1:34" ht="15.75" x14ac:dyDescent="0.25">
      <c r="A256" s="87" t="s">
        <v>77</v>
      </c>
      <c r="B256" s="62" t="s">
        <v>49</v>
      </c>
      <c r="C256" s="90" t="s">
        <v>78</v>
      </c>
      <c r="D256" s="62" t="s">
        <v>88</v>
      </c>
      <c r="E256" s="87" t="s">
        <v>76</v>
      </c>
      <c r="F256" s="62" t="s">
        <v>57</v>
      </c>
      <c r="G256" s="90" t="s">
        <v>102</v>
      </c>
      <c r="H256" s="62" t="s">
        <v>88</v>
      </c>
      <c r="I256" s="87" t="s">
        <v>75</v>
      </c>
      <c r="J256" s="62" t="s">
        <v>61</v>
      </c>
      <c r="K256" s="90" t="s">
        <v>87</v>
      </c>
      <c r="L256" s="62" t="s">
        <v>88</v>
      </c>
      <c r="M256" s="87" t="s">
        <v>86</v>
      </c>
      <c r="N256" s="62" t="s">
        <v>84</v>
      </c>
      <c r="O256" s="90" t="s">
        <v>103</v>
      </c>
      <c r="P256" s="62" t="s">
        <v>88</v>
      </c>
    </row>
    <row r="257" spans="1:22" ht="24.75" x14ac:dyDescent="0.25">
      <c r="A257" s="62" t="s">
        <v>51</v>
      </c>
      <c r="B257" s="86">
        <v>1.8543515323034395E-6</v>
      </c>
      <c r="C257" s="86">
        <f>AC242+1*L235</f>
        <v>67</v>
      </c>
      <c r="D257" s="86">
        <f>MAX(B257*1.5*((C257-F242)*500/2),0)</f>
        <v>0</v>
      </c>
      <c r="E257" s="62" t="s">
        <v>55</v>
      </c>
      <c r="F257" s="86">
        <v>1.0136894264434628E-10</v>
      </c>
      <c r="G257" s="86">
        <f>AC243+2*L235</f>
        <v>132.66666666666666</v>
      </c>
      <c r="H257" s="86">
        <f>F257*1.5*((G257-F243)*500/2+(G257-F244)*500)</f>
        <v>5.7400163772361076E-6</v>
      </c>
      <c r="I257" s="62" t="s">
        <v>59</v>
      </c>
      <c r="J257" s="86">
        <v>2.3738151739841506E-13</v>
      </c>
      <c r="K257" s="86">
        <f>AC244+3*L235</f>
        <v>229.66666666666666</v>
      </c>
      <c r="L257" s="86">
        <f>J257*1.5*((K257-G257)*500/2+(K257-F245)*500)</f>
        <v>2.4598659740410761E-8</v>
      </c>
      <c r="M257" s="62" t="s">
        <v>83</v>
      </c>
      <c r="N257" s="86">
        <v>8.6624644027589195E-16</v>
      </c>
      <c r="O257" s="86">
        <f>AC245+4*L235</f>
        <v>319.33333333333331</v>
      </c>
      <c r="P257" s="86">
        <f>N257*1.5*((O257-K257)*500/2)</f>
        <v>2.9127536554276862E-11</v>
      </c>
    </row>
    <row r="258" spans="1:22" ht="24.75" x14ac:dyDescent="0.25">
      <c r="A258" s="62" t="s">
        <v>52</v>
      </c>
      <c r="B258" s="86">
        <v>0.99999814564846767</v>
      </c>
      <c r="C258" s="88">
        <f>AC242</f>
        <v>55</v>
      </c>
      <c r="D258" s="86">
        <f>MAX(B258*1.5*((C258-F242)*500/2),0)</f>
        <v>0</v>
      </c>
      <c r="E258" s="62" t="s">
        <v>56</v>
      </c>
      <c r="F258" s="86">
        <v>5.6519588911065149E-5</v>
      </c>
      <c r="G258" s="86">
        <f>AC243+1*L235</f>
        <v>120.66666666666666</v>
      </c>
      <c r="H258" s="86">
        <f>F258*1.5*((G258-F243)*500/2+(G258-F244)*500)</f>
        <v>2.437407271789684</v>
      </c>
      <c r="I258" s="62" t="s">
        <v>60</v>
      </c>
      <c r="J258" s="86">
        <v>1.3245632269216098E-7</v>
      </c>
      <c r="K258" s="86">
        <f>AC244+2*L235</f>
        <v>217.66666666666666</v>
      </c>
      <c r="L258" s="86">
        <f>J258*1.5*((K258-G258)*500/2+(K258-F245)*500)</f>
        <v>1.2533679534745731E-2</v>
      </c>
      <c r="M258" s="62" t="s">
        <v>59</v>
      </c>
      <c r="N258" s="86">
        <v>4.6737816498526914E-10</v>
      </c>
      <c r="O258" s="86">
        <f>AC245+3*L235</f>
        <v>307.33333333333331</v>
      </c>
      <c r="P258" s="86">
        <f>N258*1.5*((O258-K258)*500/2)</f>
        <v>1.5715590797629671E-5</v>
      </c>
    </row>
    <row r="259" spans="1:22" x14ac:dyDescent="0.25">
      <c r="A259" s="86"/>
      <c r="B259" s="86"/>
      <c r="C259" s="89" t="s">
        <v>89</v>
      </c>
      <c r="D259" s="89">
        <f>SUM(D257:D258)</f>
        <v>0</v>
      </c>
      <c r="E259" s="62" t="s">
        <v>52</v>
      </c>
      <c r="F259" s="86">
        <v>0.99994348030971991</v>
      </c>
      <c r="G259" s="86">
        <f>AC243+0*L235</f>
        <v>108.66666666666666</v>
      </c>
      <c r="H259" s="86">
        <f>F259*1.5*((G259-F243)*500/2+(G259-F244)*500)</f>
        <v>29623.325604175439</v>
      </c>
      <c r="I259" s="62" t="s">
        <v>56</v>
      </c>
      <c r="J259" s="86">
        <v>1.9776139510052942E-6</v>
      </c>
      <c r="K259" s="86">
        <f>AC244+1*L235</f>
        <v>205.66666666666666</v>
      </c>
      <c r="L259" s="86">
        <f>J259*1.5*((K259-G259)*500/2+(K259-F245)*500)</f>
        <v>0.16933319455482829</v>
      </c>
      <c r="M259" s="62" t="s">
        <v>60</v>
      </c>
      <c r="N259" s="86">
        <v>8.8827384609185054E-6</v>
      </c>
      <c r="O259" s="86">
        <f>AC245+2*L235</f>
        <v>295.33333333333331</v>
      </c>
      <c r="P259" s="86">
        <f>N259*1.5*((O259-K259)*500/2)</f>
        <v>0.2986820807483847</v>
      </c>
    </row>
    <row r="260" spans="1:22" x14ac:dyDescent="0.25">
      <c r="A260" s="86"/>
      <c r="B260" s="86"/>
      <c r="C260" s="86"/>
      <c r="D260" s="86"/>
      <c r="E260" s="86"/>
      <c r="F260" s="86"/>
      <c r="G260" s="89" t="s">
        <v>79</v>
      </c>
      <c r="H260" s="89">
        <f>SUM(H257:H259)</f>
        <v>29625.763017187244</v>
      </c>
      <c r="I260" s="62" t="s">
        <v>52</v>
      </c>
      <c r="J260" s="86">
        <v>0.99760185481302921</v>
      </c>
      <c r="K260" s="86">
        <f>AC244+0*L235</f>
        <v>193.66666666666666</v>
      </c>
      <c r="L260" s="86">
        <f>J260*1.5*((K260-G259)*500/2+(K260-F245)*500)</f>
        <v>71952.033778389727</v>
      </c>
      <c r="M260" s="62" t="s">
        <v>56</v>
      </c>
      <c r="N260" s="86">
        <v>6.0296846271996121E-3</v>
      </c>
      <c r="O260" s="86">
        <f>AC245+1*L235</f>
        <v>283.33333333333331</v>
      </c>
      <c r="P260" s="86">
        <f>N260*1.5*((O260-K260)*500/2)</f>
        <v>202.74814558958693</v>
      </c>
    </row>
    <row r="261" spans="1:22" x14ac:dyDescent="0.25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9" t="s">
        <v>79</v>
      </c>
      <c r="L261" s="89">
        <f>SUM(L257:L260)</f>
        <v>71952.215645288408</v>
      </c>
      <c r="M261" s="62" t="s">
        <v>52</v>
      </c>
      <c r="N261" s="86">
        <v>0.99396143215074573</v>
      </c>
      <c r="O261" s="86">
        <f>AC245+0*L235</f>
        <v>271.33333333333331</v>
      </c>
      <c r="P261" s="86">
        <f>N261*1.5*((O261-K260)*500/2)</f>
        <v>28949.126711390465</v>
      </c>
      <c r="Q261" s="179" t="s">
        <v>80</v>
      </c>
      <c r="R261" s="179"/>
      <c r="S261" s="180">
        <f>D259+H260+L261+P262</f>
        <v>130730.15221725208</v>
      </c>
      <c r="T261" s="180"/>
    </row>
    <row r="262" spans="1:22" x14ac:dyDescent="0.25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9" t="s">
        <v>79</v>
      </c>
      <c r="P262" s="89">
        <f>SUM(P257:P261)</f>
        <v>29152.173554776422</v>
      </c>
      <c r="Q262" s="179"/>
      <c r="R262" s="179"/>
      <c r="S262" s="180"/>
      <c r="T262" s="180"/>
    </row>
    <row r="263" spans="1:22" x14ac:dyDescent="0.25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</row>
    <row r="264" spans="1:22" x14ac:dyDescent="0.25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</row>
    <row r="265" spans="1:22" x14ac:dyDescent="0.25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</row>
    <row r="266" spans="1:22" ht="24" x14ac:dyDescent="0.25">
      <c r="O266" s="131" t="s">
        <v>81</v>
      </c>
      <c r="P266" s="131"/>
      <c r="Q266" s="131">
        <f>(R252+P252+M253+S261)/AC245</f>
        <v>937.46327368423044</v>
      </c>
      <c r="R266" s="131"/>
    </row>
    <row r="267" spans="1:22" ht="15.75" thickBot="1" x14ac:dyDescent="0.3"/>
    <row r="268" spans="1:22" x14ac:dyDescent="0.25">
      <c r="A268" s="181" t="s">
        <v>111</v>
      </c>
      <c r="B268" s="182"/>
    </row>
    <row r="269" spans="1:22" ht="15.75" thickBot="1" x14ac:dyDescent="0.3">
      <c r="A269" s="183"/>
      <c r="B269" s="184"/>
    </row>
    <row r="270" spans="1:22" ht="21" x14ac:dyDescent="0.35">
      <c r="A270" s="185" t="s">
        <v>14</v>
      </c>
      <c r="B270" s="185"/>
      <c r="C270" s="165"/>
      <c r="D270" s="165"/>
      <c r="E270" s="165"/>
      <c r="F270" s="165"/>
      <c r="G270" s="165"/>
      <c r="H270" s="165"/>
      <c r="I270" s="165"/>
      <c r="J270" s="165"/>
      <c r="K270" s="165"/>
      <c r="L270" s="165"/>
      <c r="M270" s="165"/>
      <c r="O270" s="166" t="s">
        <v>72</v>
      </c>
      <c r="P270" s="166"/>
      <c r="Q270" s="166"/>
      <c r="R270" s="166"/>
      <c r="S270" s="166"/>
      <c r="T270" s="166"/>
      <c r="U270" s="166"/>
      <c r="V270" s="166"/>
    </row>
    <row r="271" spans="1:22" ht="36" x14ac:dyDescent="0.25">
      <c r="A271" s="4" t="s">
        <v>15</v>
      </c>
      <c r="B271" s="4" t="s">
        <v>16</v>
      </c>
      <c r="C271" s="4" t="s">
        <v>31</v>
      </c>
      <c r="D271" s="6" t="s">
        <v>17</v>
      </c>
      <c r="E271" s="6" t="s">
        <v>18</v>
      </c>
      <c r="F271" s="6" t="s">
        <v>19</v>
      </c>
      <c r="G271" s="6" t="s">
        <v>20</v>
      </c>
      <c r="H271" s="6" t="s">
        <v>21</v>
      </c>
      <c r="I271" s="6" t="s">
        <v>22</v>
      </c>
      <c r="J271" s="6" t="s">
        <v>23</v>
      </c>
      <c r="K271" s="6" t="s">
        <v>24</v>
      </c>
      <c r="L271" s="6" t="s">
        <v>25</v>
      </c>
      <c r="M271" s="6" t="s">
        <v>26</v>
      </c>
      <c r="N271" s="8"/>
      <c r="O271" s="167" t="s">
        <v>32</v>
      </c>
      <c r="P271" s="167" t="s">
        <v>35</v>
      </c>
      <c r="Q271" s="167" t="s">
        <v>66</v>
      </c>
      <c r="R271" s="99" t="s">
        <v>67</v>
      </c>
      <c r="S271" s="99" t="s">
        <v>68</v>
      </c>
      <c r="T271" s="167" t="s">
        <v>69</v>
      </c>
      <c r="U271" s="71" t="s">
        <v>33</v>
      </c>
      <c r="V271" s="99" t="s">
        <v>70</v>
      </c>
    </row>
    <row r="272" spans="1:22" x14ac:dyDescent="0.25">
      <c r="A272" s="3" t="s">
        <v>27</v>
      </c>
      <c r="B272" s="3">
        <v>0</v>
      </c>
      <c r="C272" s="3">
        <v>0.3</v>
      </c>
      <c r="D272" s="3">
        <v>243</v>
      </c>
      <c r="E272" s="3">
        <v>1.73</v>
      </c>
      <c r="F272" s="3">
        <v>5</v>
      </c>
      <c r="G272" s="169">
        <v>12</v>
      </c>
      <c r="H272" s="3">
        <v>1820</v>
      </c>
      <c r="I272" s="169">
        <v>19645</v>
      </c>
      <c r="J272" s="3">
        <v>20</v>
      </c>
      <c r="K272" s="3">
        <v>40</v>
      </c>
      <c r="L272" s="3">
        <v>500</v>
      </c>
      <c r="M272" s="3">
        <v>1000</v>
      </c>
      <c r="O272" s="168"/>
      <c r="P272" s="168"/>
      <c r="Q272" s="168"/>
      <c r="R272" s="72" t="s">
        <v>71</v>
      </c>
      <c r="S272" s="72" t="s">
        <v>71</v>
      </c>
      <c r="T272" s="168"/>
      <c r="U272" s="73">
        <v>500</v>
      </c>
      <c r="V272" s="3">
        <v>1.5</v>
      </c>
    </row>
    <row r="273" spans="1:34" x14ac:dyDescent="0.25">
      <c r="A273" s="3" t="s">
        <v>28</v>
      </c>
      <c r="B273" s="3">
        <v>0</v>
      </c>
      <c r="C273" s="3">
        <v>0.3</v>
      </c>
      <c r="D273" s="3">
        <v>254</v>
      </c>
      <c r="E273" s="3">
        <v>1.88</v>
      </c>
      <c r="F273" s="3">
        <v>3</v>
      </c>
      <c r="G273" s="170"/>
      <c r="H273" s="3">
        <v>2720</v>
      </c>
      <c r="I273" s="170"/>
      <c r="J273" s="5"/>
      <c r="K273" s="5"/>
      <c r="L273" s="5"/>
      <c r="M273" s="5"/>
      <c r="O273" s="74">
        <v>1</v>
      </c>
      <c r="P273" s="74">
        <v>106</v>
      </c>
      <c r="Q273" s="74">
        <v>110</v>
      </c>
      <c r="R273" s="74">
        <v>6</v>
      </c>
      <c r="S273" s="74">
        <v>5</v>
      </c>
      <c r="T273" s="74">
        <f>R273*$U$5/60+S273</f>
        <v>55</v>
      </c>
      <c r="U273" s="75"/>
    </row>
    <row r="274" spans="1:34" x14ac:dyDescent="0.25">
      <c r="A274" s="3" t="s">
        <v>29</v>
      </c>
      <c r="B274" s="3">
        <v>0</v>
      </c>
      <c r="C274" s="3">
        <v>0.3</v>
      </c>
      <c r="D274" s="3">
        <v>143</v>
      </c>
      <c r="E274" s="3">
        <v>2.4300000000000002</v>
      </c>
      <c r="F274" s="3">
        <v>8</v>
      </c>
      <c r="G274" s="170"/>
      <c r="H274" s="3">
        <v>3700</v>
      </c>
      <c r="I274" s="170"/>
      <c r="J274" s="5"/>
      <c r="K274" s="140" t="s">
        <v>73</v>
      </c>
      <c r="L274" s="141">
        <v>12</v>
      </c>
      <c r="M274" s="140" t="s">
        <v>74</v>
      </c>
      <c r="N274" s="141">
        <v>19645</v>
      </c>
      <c r="O274" s="74">
        <v>2</v>
      </c>
      <c r="P274" s="74">
        <v>76</v>
      </c>
      <c r="Q274" s="74">
        <v>40</v>
      </c>
      <c r="R274" s="74">
        <v>9</v>
      </c>
      <c r="S274" s="74">
        <v>2</v>
      </c>
      <c r="T274" s="74">
        <f t="shared" ref="T274:T276" si="28">R274*$U$5/60+S274</f>
        <v>77</v>
      </c>
      <c r="U274" s="75"/>
    </row>
    <row r="275" spans="1:34" x14ac:dyDescent="0.25">
      <c r="A275" s="3" t="s">
        <v>30</v>
      </c>
      <c r="B275" s="3">
        <v>0</v>
      </c>
      <c r="C275" s="3">
        <v>0.3</v>
      </c>
      <c r="D275" s="3">
        <v>449</v>
      </c>
      <c r="E275" s="3">
        <v>2.5299999999999998</v>
      </c>
      <c r="F275" s="3">
        <v>4</v>
      </c>
      <c r="G275" s="171"/>
      <c r="H275" s="3">
        <v>4320</v>
      </c>
      <c r="I275" s="171"/>
      <c r="J275" s="5"/>
      <c r="K275" s="140"/>
      <c r="L275" s="141"/>
      <c r="M275" s="140"/>
      <c r="N275" s="141"/>
      <c r="O275" s="74">
        <v>3</v>
      </c>
      <c r="P275" s="74">
        <v>95</v>
      </c>
      <c r="Q275" s="74">
        <v>67</v>
      </c>
      <c r="R275" s="74">
        <v>5</v>
      </c>
      <c r="S275" s="74">
        <v>4</v>
      </c>
      <c r="T275" s="74">
        <f t="shared" si="28"/>
        <v>45.666666666666664</v>
      </c>
      <c r="U275" s="75"/>
    </row>
    <row r="276" spans="1:34" ht="15.75" thickBo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O276" s="74">
        <v>4</v>
      </c>
      <c r="P276" s="74">
        <v>140</v>
      </c>
      <c r="Q276" s="94">
        <v>85</v>
      </c>
      <c r="R276" s="94">
        <v>8</v>
      </c>
      <c r="S276" s="94">
        <v>3</v>
      </c>
      <c r="T276" s="74">
        <f t="shared" si="28"/>
        <v>69.666666666666671</v>
      </c>
    </row>
    <row r="277" spans="1:34" x14ac:dyDescent="0.25">
      <c r="A277" s="142" t="s">
        <v>36</v>
      </c>
      <c r="B277" s="144" t="s">
        <v>106</v>
      </c>
      <c r="C277" s="144"/>
      <c r="D277" s="144"/>
      <c r="E277" s="144"/>
      <c r="F277" s="20" t="s">
        <v>27</v>
      </c>
      <c r="G277" s="20" t="s">
        <v>28</v>
      </c>
      <c r="H277" s="20" t="s">
        <v>29</v>
      </c>
      <c r="I277" s="20" t="s">
        <v>30</v>
      </c>
    </row>
    <row r="278" spans="1:34" ht="15.75" thickBot="1" x14ac:dyDescent="0.3">
      <c r="A278" s="143"/>
      <c r="B278" s="145"/>
      <c r="C278" s="145"/>
      <c r="D278" s="145"/>
      <c r="E278" s="145"/>
      <c r="F278" s="20">
        <v>126</v>
      </c>
      <c r="G278" s="26">
        <v>91</v>
      </c>
      <c r="H278" s="26">
        <v>67</v>
      </c>
      <c r="I278" s="26">
        <v>201</v>
      </c>
    </row>
    <row r="279" spans="1:34" ht="15.75" thickBot="1" x14ac:dyDescent="0.3">
      <c r="A279" s="143"/>
      <c r="B279" s="145"/>
      <c r="C279" s="145"/>
      <c r="D279" s="145"/>
      <c r="E279" s="145"/>
      <c r="F279" s="7"/>
      <c r="G279" s="146" t="s">
        <v>27</v>
      </c>
      <c r="H279" s="147"/>
      <c r="I279" s="147"/>
      <c r="J279" s="147"/>
      <c r="K279" s="148"/>
      <c r="L279" s="149" t="s">
        <v>28</v>
      </c>
      <c r="M279" s="150"/>
      <c r="N279" s="150"/>
      <c r="O279" s="150"/>
      <c r="P279" s="151"/>
      <c r="Q279" s="152" t="s">
        <v>29</v>
      </c>
      <c r="R279" s="153"/>
      <c r="S279" s="153"/>
      <c r="T279" s="153"/>
      <c r="U279" s="154"/>
      <c r="V279" s="155" t="s">
        <v>30</v>
      </c>
      <c r="W279" s="156"/>
      <c r="X279" s="156"/>
      <c r="Y279" s="156"/>
      <c r="Z279" s="157"/>
      <c r="AA279" s="158" t="s">
        <v>42</v>
      </c>
      <c r="AB279" s="159"/>
      <c r="AC279" s="160" t="s">
        <v>44</v>
      </c>
      <c r="AD279" s="162" t="s">
        <v>47</v>
      </c>
      <c r="AE279" s="163"/>
      <c r="AF279" s="163"/>
      <c r="AG279" s="164"/>
      <c r="AH279" s="138" t="s">
        <v>62</v>
      </c>
    </row>
    <row r="280" spans="1:34" ht="36.75" x14ac:dyDescent="0.25">
      <c r="A280" s="21" t="s">
        <v>32</v>
      </c>
      <c r="B280" s="22" t="s">
        <v>37</v>
      </c>
      <c r="C280" s="23" t="s">
        <v>33</v>
      </c>
      <c r="D280" s="22" t="s">
        <v>38</v>
      </c>
      <c r="E280" s="22" t="s">
        <v>34</v>
      </c>
      <c r="F280" s="25" t="s">
        <v>35</v>
      </c>
      <c r="G280" s="27" t="s">
        <v>39</v>
      </c>
      <c r="H280" s="10" t="s">
        <v>40</v>
      </c>
      <c r="I280" s="10" t="s">
        <v>45</v>
      </c>
      <c r="J280" s="10" t="s">
        <v>46</v>
      </c>
      <c r="K280" s="28" t="s">
        <v>41</v>
      </c>
      <c r="L280" s="30" t="s">
        <v>39</v>
      </c>
      <c r="M280" s="13" t="s">
        <v>40</v>
      </c>
      <c r="N280" s="13" t="s">
        <v>45</v>
      </c>
      <c r="O280" s="13" t="s">
        <v>46</v>
      </c>
      <c r="P280" s="31" t="s">
        <v>41</v>
      </c>
      <c r="Q280" s="33" t="s">
        <v>39</v>
      </c>
      <c r="R280" s="12" t="s">
        <v>40</v>
      </c>
      <c r="S280" s="12" t="s">
        <v>45</v>
      </c>
      <c r="T280" s="12" t="s">
        <v>46</v>
      </c>
      <c r="U280" s="34" t="s">
        <v>41</v>
      </c>
      <c r="V280" s="36" t="s">
        <v>39</v>
      </c>
      <c r="W280" s="11" t="s">
        <v>40</v>
      </c>
      <c r="X280" s="11" t="s">
        <v>45</v>
      </c>
      <c r="Y280" s="11" t="s">
        <v>46</v>
      </c>
      <c r="Z280" s="37" t="s">
        <v>41</v>
      </c>
      <c r="AA280" s="39" t="s">
        <v>41</v>
      </c>
      <c r="AB280" s="40" t="s">
        <v>43</v>
      </c>
      <c r="AC280" s="161"/>
      <c r="AD280" s="43" t="s">
        <v>27</v>
      </c>
      <c r="AE280" s="1" t="s">
        <v>28</v>
      </c>
      <c r="AF280" s="1" t="s">
        <v>29</v>
      </c>
      <c r="AG280" s="1" t="s">
        <v>30</v>
      </c>
      <c r="AH280" s="139"/>
    </row>
    <row r="281" spans="1:34" x14ac:dyDescent="0.25">
      <c r="A281" s="24">
        <v>1</v>
      </c>
      <c r="B281" s="9">
        <v>6</v>
      </c>
      <c r="C281" s="9">
        <v>500</v>
      </c>
      <c r="D281" s="9">
        <v>5</v>
      </c>
      <c r="E281" s="48">
        <f>B281*C281/60+D281</f>
        <v>55</v>
      </c>
      <c r="F281" s="14">
        <v>106</v>
      </c>
      <c r="G281" s="49">
        <f>B$5*(1-AD281*C$5)</f>
        <v>0</v>
      </c>
      <c r="H281" s="50">
        <f>G281+E281</f>
        <v>55</v>
      </c>
      <c r="I281" s="15">
        <f>(H281/D$5)^E$5</f>
        <v>7.6511831764011648E-2</v>
      </c>
      <c r="J281" s="15">
        <f>(G281/D$5)^E$5</f>
        <v>0</v>
      </c>
      <c r="K281" s="29">
        <f>1-EXP(J281-I281)</f>
        <v>7.3658046035411151E-2</v>
      </c>
      <c r="L281" s="51">
        <f>B$6*(1-AE281*C$6)</f>
        <v>0</v>
      </c>
      <c r="M281" s="52">
        <f>L281+E281</f>
        <v>55</v>
      </c>
      <c r="N281" s="17">
        <f>(M281/D$6)^E$6</f>
        <v>5.633709759436846E-2</v>
      </c>
      <c r="O281" s="17">
        <f>(L281/D$6)^E$6</f>
        <v>0</v>
      </c>
      <c r="P281" s="32">
        <f>1-EXP(O281-N281)</f>
        <v>5.4779549360660096E-2</v>
      </c>
      <c r="Q281" s="53">
        <f>B$7*(1-AF281*C$7)</f>
        <v>0</v>
      </c>
      <c r="R281" s="54">
        <f>Q281+E281</f>
        <v>55</v>
      </c>
      <c r="S281" s="16">
        <f>(R281/D$7)^E$7</f>
        <v>9.8087748172662498E-2</v>
      </c>
      <c r="T281" s="16">
        <f>(Q281/D$7)^E$7</f>
        <v>0</v>
      </c>
      <c r="U281" s="35">
        <f>1-EXP(T281-S281)</f>
        <v>9.3430649540250821E-2</v>
      </c>
      <c r="V281" s="55">
        <f>B$8*(1-AG281*C$8)</f>
        <v>0</v>
      </c>
      <c r="W281" s="56">
        <f>V281+E281</f>
        <v>55</v>
      </c>
      <c r="X281" s="18">
        <f>(W281/D$8)^E$8</f>
        <v>4.9309927237744132E-3</v>
      </c>
      <c r="Y281" s="18">
        <f>(V281/D$8)^E$8</f>
        <v>0</v>
      </c>
      <c r="Z281" s="38">
        <f>1-EXP(Y281-X281)</f>
        <v>4.9188553371368737E-3</v>
      </c>
      <c r="AA281" s="41">
        <f>K281*P281*U281*Z281</f>
        <v>1.8543515323034395E-6</v>
      </c>
      <c r="AB281" s="42">
        <f>1-AA281</f>
        <v>0.99999814564846767</v>
      </c>
      <c r="AC281" s="47">
        <f>(AD281*F$5+AE281*F$6+AF281*F$7+AG281*F$8)+E281</f>
        <v>55</v>
      </c>
      <c r="AD281" s="43">
        <v>0</v>
      </c>
      <c r="AE281" s="1">
        <v>0</v>
      </c>
      <c r="AF281" s="1">
        <v>0</v>
      </c>
      <c r="AG281" s="1">
        <v>0</v>
      </c>
      <c r="AH281" s="44">
        <v>110</v>
      </c>
    </row>
    <row r="282" spans="1:34" x14ac:dyDescent="0.25">
      <c r="A282" s="24">
        <v>3</v>
      </c>
      <c r="B282" s="9">
        <v>5</v>
      </c>
      <c r="C282" s="9">
        <v>500</v>
      </c>
      <c r="D282" s="9">
        <v>4</v>
      </c>
      <c r="E282" s="9">
        <f t="shared" ref="E282:E284" si="29">B282*C282/60+D282</f>
        <v>45.666666666666664</v>
      </c>
      <c r="F282" s="14">
        <v>95</v>
      </c>
      <c r="G282" s="49">
        <f>H281*(1-AD282*C$5)</f>
        <v>55</v>
      </c>
      <c r="H282" s="50">
        <f>G282+E282</f>
        <v>100.66666666666666</v>
      </c>
      <c r="I282" s="15">
        <f>(H282/D$5)^E$5</f>
        <v>0.21771752434165836</v>
      </c>
      <c r="J282" s="15">
        <f>(G282/D$5)^E$5</f>
        <v>7.6511831764011648E-2</v>
      </c>
      <c r="K282" s="29">
        <f>1-EXP(J282-I282)</f>
        <v>0.13168931173612675</v>
      </c>
      <c r="L282" s="51">
        <f>M281*(1-AE282*C$6)</f>
        <v>55</v>
      </c>
      <c r="M282" s="52">
        <f>L282+E282</f>
        <v>100.66666666666666</v>
      </c>
      <c r="N282" s="17">
        <f>(M282/D$6)^E$6</f>
        <v>0.17552448466860393</v>
      </c>
      <c r="O282" s="17">
        <f>(L282/D$6)^E$6</f>
        <v>5.633709759436846E-2</v>
      </c>
      <c r="P282" s="32">
        <f>1-EXP(O282-N282)</f>
        <v>0.11235854735808759</v>
      </c>
      <c r="Q282" s="53">
        <f>R281*(1-AF282*C$7)</f>
        <v>38.5</v>
      </c>
      <c r="R282" s="54">
        <f>Q282+E282</f>
        <v>84.166666666666657</v>
      </c>
      <c r="S282" s="16">
        <f>(R282/D$7)^E$7</f>
        <v>0.27581884743870322</v>
      </c>
      <c r="T282" s="16">
        <f>(Q282/D$7)^E$7</f>
        <v>4.1229019029394576E-2</v>
      </c>
      <c r="U282" s="35">
        <f>1-EXP(T282-S282)</f>
        <v>0.20910481415611459</v>
      </c>
      <c r="V282" s="55">
        <f>W281*(1-AG282*C$8)</f>
        <v>55</v>
      </c>
      <c r="W282" s="56">
        <f>V282+E282</f>
        <v>100.66666666666666</v>
      </c>
      <c r="X282" s="18">
        <f>(W282/D$8)^E$8</f>
        <v>2.275713304339216E-2</v>
      </c>
      <c r="Y282" s="18">
        <f>(V282/D$8)^E$8</f>
        <v>4.9309927237744132E-3</v>
      </c>
      <c r="Z282" s="38">
        <f>1-EXP(Y282-X282)</f>
        <v>1.766819459368596E-2</v>
      </c>
      <c r="AA282" s="41">
        <f>K282*P282*U282*Z282</f>
        <v>5.4665440116646997E-5</v>
      </c>
      <c r="AB282" s="42">
        <f>1-AA282</f>
        <v>0.99994533455988333</v>
      </c>
      <c r="AC282" s="47">
        <f>AF282*F$7+E282+AC281</f>
        <v>108.66666666666666</v>
      </c>
      <c r="AD282" s="43">
        <v>0</v>
      </c>
      <c r="AE282" s="1">
        <v>0</v>
      </c>
      <c r="AF282" s="1">
        <v>1</v>
      </c>
      <c r="AG282" s="1">
        <v>0</v>
      </c>
      <c r="AH282" s="44">
        <v>67</v>
      </c>
    </row>
    <row r="283" spans="1:34" x14ac:dyDescent="0.25">
      <c r="A283" s="57">
        <v>4</v>
      </c>
      <c r="B283" s="58">
        <v>8</v>
      </c>
      <c r="C283" s="58">
        <v>500</v>
      </c>
      <c r="D283" s="58">
        <v>3</v>
      </c>
      <c r="E283" s="66">
        <f t="shared" si="29"/>
        <v>69.666666666666671</v>
      </c>
      <c r="F283" s="67">
        <v>140</v>
      </c>
      <c r="G283" s="68">
        <f>H282*(1-AD283*C$5)</f>
        <v>70.466666666666654</v>
      </c>
      <c r="H283" s="69">
        <f>G283+E283</f>
        <v>140.13333333333333</v>
      </c>
      <c r="I283" s="70">
        <f>(H283/D$5)^E$5</f>
        <v>0.38584942708200459</v>
      </c>
      <c r="J283" s="70">
        <f>(G283/D$5)^E$5</f>
        <v>0.11746622079432449</v>
      </c>
      <c r="K283" s="29">
        <f>1-EXP(J283-I283)</f>
        <v>0.2353852802132943</v>
      </c>
      <c r="L283" s="51">
        <f>M282*(1-AE283*C$6)</f>
        <v>70.466666666666654</v>
      </c>
      <c r="M283" s="52">
        <f>L283+E283</f>
        <v>140.13333333333333</v>
      </c>
      <c r="N283" s="17">
        <f>(M283/D$6)^E$6</f>
        <v>0.32689670548124367</v>
      </c>
      <c r="O283" s="17">
        <f>(L283/D$6)^E$6</f>
        <v>8.9768097666615101E-2</v>
      </c>
      <c r="P283" s="32">
        <f>1-EXP(O283-N283)</f>
        <v>0.21111017590303682</v>
      </c>
      <c r="Q283" s="53">
        <f>R282*(1-AF283*C$7)</f>
        <v>58.916666666666657</v>
      </c>
      <c r="R283" s="54">
        <f>Q283+E283</f>
        <v>128.58333333333331</v>
      </c>
      <c r="S283" s="16">
        <f>(R283/D$7)^E$7</f>
        <v>0.7724176720605882</v>
      </c>
      <c r="T283" s="16">
        <f>(Q283/D$7)^E$7</f>
        <v>0.11593436205405039</v>
      </c>
      <c r="U283" s="35">
        <f>1-EXP(T283-S283)</f>
        <v>0.4813278598641999</v>
      </c>
      <c r="V283" s="55">
        <f>W282*(1-AG283*C$8)</f>
        <v>100.66666666666666</v>
      </c>
      <c r="W283" s="56">
        <f>V283+E283</f>
        <v>170.33333333333331</v>
      </c>
      <c r="X283" s="18">
        <f>(W283/D$8)^E$8</f>
        <v>8.6100338756432845E-2</v>
      </c>
      <c r="Y283" s="18">
        <f>(V283/D$8)^E$8</f>
        <v>2.275713304339216E-2</v>
      </c>
      <c r="Z283" s="38">
        <f>1-EXP(Y283-X283)</f>
        <v>6.1378721782433199E-2</v>
      </c>
      <c r="AA283" s="41">
        <f>K283*P283*U283*Z283</f>
        <v>1.4680718401225434E-3</v>
      </c>
      <c r="AB283" s="42">
        <f>1-AA283</f>
        <v>0.99853192815987746</v>
      </c>
      <c r="AC283" s="47">
        <f>(AF283*F$7)+E283+AC282</f>
        <v>186.33333333333331</v>
      </c>
      <c r="AD283" s="77">
        <v>1</v>
      </c>
      <c r="AE283" s="78">
        <v>1</v>
      </c>
      <c r="AF283" s="78">
        <v>1</v>
      </c>
      <c r="AG283" s="78">
        <v>0</v>
      </c>
      <c r="AH283" s="79">
        <v>85</v>
      </c>
    </row>
    <row r="284" spans="1:34" ht="15.75" thickBot="1" x14ac:dyDescent="0.3">
      <c r="A284" s="76">
        <v>2</v>
      </c>
      <c r="B284" s="58">
        <v>9</v>
      </c>
      <c r="C284" s="58">
        <v>500</v>
      </c>
      <c r="D284" s="58">
        <v>2</v>
      </c>
      <c r="E284" s="66">
        <f t="shared" si="29"/>
        <v>77</v>
      </c>
      <c r="F284" s="67">
        <v>76</v>
      </c>
      <c r="G284" s="68">
        <f>H283*(1-AD284*C$5)</f>
        <v>98.09333333333332</v>
      </c>
      <c r="H284" s="69">
        <f>G284+E284</f>
        <v>175.09333333333331</v>
      </c>
      <c r="I284" s="70">
        <f>(H284/D$5)^E$5</f>
        <v>0.56722788558876358</v>
      </c>
      <c r="J284" s="70">
        <f>(G284/D$5)^E$5</f>
        <v>0.20817926408097581</v>
      </c>
      <c r="K284" s="29">
        <f>1-EXP(J284-I284)</f>
        <v>0.30165960383690649</v>
      </c>
      <c r="L284" s="51">
        <f>M283*(1-AE284*C$6)</f>
        <v>98.09333333333332</v>
      </c>
      <c r="M284" s="52">
        <f>L284+E284</f>
        <v>175.09333333333331</v>
      </c>
      <c r="N284" s="17">
        <f>(M284/D$6)^E$6</f>
        <v>0.49688911241375849</v>
      </c>
      <c r="O284" s="17">
        <f>(L284/D$6)^E$6</f>
        <v>0.16718405662856181</v>
      </c>
      <c r="P284" s="32">
        <f>1-EXP(O284-N284)</f>
        <v>0.28086419289859976</v>
      </c>
      <c r="Q284" s="53">
        <f>R283*(1-AF284*C$7)</f>
        <v>90.008333333333312</v>
      </c>
      <c r="R284" s="54">
        <f>Q284+E284</f>
        <v>167.00833333333333</v>
      </c>
      <c r="S284" s="16">
        <f>(R284/D$7)^E$7</f>
        <v>1.4580993420482444</v>
      </c>
      <c r="T284" s="16">
        <f>(Q284/D$7)^E$7</f>
        <v>0.32466871238565426</v>
      </c>
      <c r="U284" s="35">
        <f>1-EXP(T284-S284)</f>
        <v>0.67807305229644688</v>
      </c>
      <c r="V284" s="55">
        <f>W283*(1-AG284*C$8)</f>
        <v>119.23333333333331</v>
      </c>
      <c r="W284" s="56">
        <f>V284+E284</f>
        <v>196.23333333333329</v>
      </c>
      <c r="X284" s="18">
        <f>(W284/D$8)^E$8</f>
        <v>0.12317764407834954</v>
      </c>
      <c r="Y284" s="18">
        <f>(V284/D$8)^E$8</f>
        <v>3.4922305031534831E-2</v>
      </c>
      <c r="Z284" s="38">
        <f>1-EXP(Y284-X284)</f>
        <v>8.4472922935685757E-2</v>
      </c>
      <c r="AA284" s="41">
        <f>K284*P284*U284*Z284</f>
        <v>4.8529692377724072E-3</v>
      </c>
      <c r="AB284" s="42">
        <f>1-AA284</f>
        <v>0.99514703076222755</v>
      </c>
      <c r="AC284" s="47">
        <f>(AF284*F$7)+E284+AC283</f>
        <v>271.33333333333331</v>
      </c>
      <c r="AD284" s="80">
        <v>1</v>
      </c>
      <c r="AE284" s="45">
        <v>1</v>
      </c>
      <c r="AF284" s="81">
        <v>1</v>
      </c>
      <c r="AG284" s="45">
        <v>1</v>
      </c>
      <c r="AH284" s="82">
        <v>40</v>
      </c>
    </row>
    <row r="285" spans="1:34" ht="18.75" x14ac:dyDescent="0.3">
      <c r="A285" s="132" t="s">
        <v>53</v>
      </c>
      <c r="B285" s="132"/>
      <c r="C285" s="132"/>
      <c r="D285" s="132"/>
      <c r="E285" s="132"/>
      <c r="F285" s="132"/>
      <c r="G285" s="132"/>
      <c r="H285" s="132"/>
      <c r="I285" s="132"/>
      <c r="J285" s="132"/>
      <c r="AG285" s="46"/>
    </row>
    <row r="286" spans="1:34" ht="15.75" x14ac:dyDescent="0.25">
      <c r="A286" s="19" t="s">
        <v>58</v>
      </c>
      <c r="B286" s="60" t="s">
        <v>49</v>
      </c>
      <c r="C286" s="61" t="s">
        <v>50</v>
      </c>
      <c r="D286" s="19" t="s">
        <v>54</v>
      </c>
      <c r="E286" s="60" t="s">
        <v>57</v>
      </c>
      <c r="F286" s="61" t="s">
        <v>50</v>
      </c>
      <c r="G286" s="19" t="s">
        <v>82</v>
      </c>
      <c r="H286" s="60" t="s">
        <v>61</v>
      </c>
      <c r="I286" s="61" t="s">
        <v>50</v>
      </c>
      <c r="J286" s="19" t="s">
        <v>48</v>
      </c>
      <c r="K286" s="83" t="s">
        <v>84</v>
      </c>
      <c r="L286" s="61" t="s">
        <v>50</v>
      </c>
      <c r="M286" s="61" t="s">
        <v>85</v>
      </c>
      <c r="O286" s="174" t="s">
        <v>64</v>
      </c>
      <c r="P286" s="174"/>
      <c r="Q286" s="175" t="s">
        <v>109</v>
      </c>
      <c r="R286" s="175"/>
    </row>
    <row r="287" spans="1:34" ht="24.75" x14ac:dyDescent="0.25">
      <c r="A287" s="61" t="s">
        <v>51</v>
      </c>
      <c r="B287" s="1">
        <f>AA281</f>
        <v>1.8543515323034395E-6</v>
      </c>
      <c r="C287" s="59">
        <f>MAX(AC281+1*L274-F281,0)</f>
        <v>0</v>
      </c>
      <c r="D287" s="62" t="s">
        <v>55</v>
      </c>
      <c r="E287" s="1">
        <f>AA281*AA282</f>
        <v>1.0136894264434628E-10</v>
      </c>
      <c r="F287" s="1">
        <f>MAX(AC282+2*L274-F282,0)</f>
        <v>37.666666666666657</v>
      </c>
      <c r="G287" s="62" t="s">
        <v>59</v>
      </c>
      <c r="H287" s="1">
        <f>AA281*AA282*AA283</f>
        <v>1.48816890159162E-13</v>
      </c>
      <c r="I287" s="1">
        <f>AC283+3*L274-F283</f>
        <v>82.333333333333314</v>
      </c>
      <c r="J287" s="62" t="s">
        <v>83</v>
      </c>
      <c r="K287" s="1">
        <f>AA281*AA282*AA283*AA284</f>
        <v>7.2220379000336843E-16</v>
      </c>
      <c r="L287" s="1">
        <f>AC284+4*L274-F284</f>
        <v>243.33333333333331</v>
      </c>
      <c r="M287" s="1">
        <f>B287*C287*AH281+E287*F287*AH282+H287*I287*AH283+K287*L287*AH284</f>
        <v>2.5686992123996838E-7</v>
      </c>
      <c r="O287" s="1" t="s">
        <v>27</v>
      </c>
      <c r="P287" s="1">
        <f>2*H272</f>
        <v>3640</v>
      </c>
      <c r="Q287" s="1">
        <f>(K281*(1-P281)*(1-U281)*(1-Z281))+(P281*(1-K281)*(1-U281)*(1-Z281))+(U281*(1-K281)*(1-P281)*(1-Z281))+(Z281*(1-K281)*(1-P281)*(1-U281))</f>
        <v>0.19389466846386108</v>
      </c>
      <c r="R287" s="1">
        <f>Q287*(L$7*(J$5*K$5+L$5)+I$5)</f>
        <v>6833.8175900087836</v>
      </c>
    </row>
    <row r="288" spans="1:34" ht="24.75" x14ac:dyDescent="0.25">
      <c r="A288" s="62" t="s">
        <v>52</v>
      </c>
      <c r="B288" s="1">
        <f>AB281</f>
        <v>0.99999814564846767</v>
      </c>
      <c r="C288" s="59">
        <f>MAX(AC281-F281,0)</f>
        <v>0</v>
      </c>
      <c r="D288" s="62" t="s">
        <v>56</v>
      </c>
      <c r="E288" s="1">
        <f>AA281*AB282+AA282*AB281</f>
        <v>5.6519588911065149E-5</v>
      </c>
      <c r="F288" s="1">
        <f>MAX(AC282+1*L274-F282,0)</f>
        <v>25.666666666666657</v>
      </c>
      <c r="G288" s="62" t="s">
        <v>60</v>
      </c>
      <c r="H288" s="1">
        <f>AA281*AA282*AB283+AA282*AA283*AB281+AA281*AA283*AB282</f>
        <v>8.3076037021391298E-8</v>
      </c>
      <c r="I288" s="1">
        <f>AC283+2*L274-F283</f>
        <v>70.333333333333314</v>
      </c>
      <c r="J288" s="62" t="s">
        <v>59</v>
      </c>
      <c r="K288">
        <f>AB281*AA282*AA283*AA284+AB282*AA281*AA283*AA284*+AB283*AA281*AA282*AA284+AB284*AA281*AA282*AA283</f>
        <v>3.8961170943398391E-10</v>
      </c>
      <c r="L288" s="1">
        <f>AC284+3*L274-F284</f>
        <v>231.33333333333331</v>
      </c>
      <c r="M288" s="1">
        <f>B288*C288*AH281+E288*F288*AH282+H288*I288*AH283+K288*L288*AH284</f>
        <v>9.7695114512405853E-2</v>
      </c>
      <c r="O288" s="1" t="s">
        <v>28</v>
      </c>
      <c r="P288" s="1">
        <f>2*H273</f>
        <v>5440</v>
      </c>
      <c r="Q288" s="1">
        <f t="shared" ref="Q288:Q290" si="30">(K282*(1-P282)*(1-U282)*(1-Z282))+(P282*(1-K282)*(1-U282)*(1-Z282))+(U282*(1-K282)*(1-P282)*(1-Z282))+(Z282*(1-K282)*(1-P282)*(1-U282))</f>
        <v>0.33570461654429157</v>
      </c>
      <c r="R288" s="1">
        <f t="shared" ref="R288:R290" si="31">Q288*(L$7*(J$5*K$5+L$5)+I$5)</f>
        <v>11831.909210103557</v>
      </c>
    </row>
    <row r="289" spans="1:20" ht="24.75" x14ac:dyDescent="0.25">
      <c r="A289" s="1"/>
      <c r="B289" s="1"/>
      <c r="C289" s="1"/>
      <c r="D289" s="62" t="s">
        <v>52</v>
      </c>
      <c r="E289" s="1">
        <f>AB281*AB282</f>
        <v>0.99994348030971991</v>
      </c>
      <c r="F289" s="59">
        <f>MAX(AC282-F282,0)</f>
        <v>13.666666666666657</v>
      </c>
      <c r="G289" s="62" t="s">
        <v>56</v>
      </c>
      <c r="H289" s="1">
        <f>AA281*AB282*AB283+AA282*AB281*AB283*+AA283*AB281*AB282</f>
        <v>1.9316582895146321E-6</v>
      </c>
      <c r="I289" s="1">
        <f>AC283+1*L274-F283</f>
        <v>58.333333333333314</v>
      </c>
      <c r="J289" s="62" t="s">
        <v>60</v>
      </c>
      <c r="K289" s="1">
        <f>AA281*AA282*AB283*AB284 + AA281*AA283*AB282*AB284 + AA281*AA284*AB282*AB283 + AA282*AA283*AB281*AB284 + AA282*AA284*AB281*AB283 + AA283*AA284*AB281*AB282</f>
        <v>7.4806628276508933E-6</v>
      </c>
      <c r="L289" s="1">
        <f>AC284+2*L274-F284</f>
        <v>219.33333333333331</v>
      </c>
      <c r="M289" s="1">
        <f>B289*C289*AH281+E289*F289*AH282+H289*I289*AH283+K289*L289*AH284</f>
        <v>915.69012162449303</v>
      </c>
      <c r="O289" s="1" t="s">
        <v>29</v>
      </c>
      <c r="P289" s="1">
        <f>3*(F274*(J272*K272+L272)+H274)</f>
        <v>42300</v>
      </c>
      <c r="Q289" s="1">
        <f t="shared" si="30"/>
        <v>0.46070440161915077</v>
      </c>
      <c r="R289" s="1">
        <f t="shared" si="31"/>
        <v>16237.526635066968</v>
      </c>
    </row>
    <row r="290" spans="1:20" ht="24.75" x14ac:dyDescent="0.25">
      <c r="A290" s="1"/>
      <c r="B290" s="1"/>
      <c r="C290" s="1"/>
      <c r="D290" s="1"/>
      <c r="E290" s="1"/>
      <c r="F290" s="1"/>
      <c r="G290" s="62" t="s">
        <v>52</v>
      </c>
      <c r="H290" s="1">
        <f>AB281*AB282*AB283</f>
        <v>0.99847549144456305</v>
      </c>
      <c r="I290" s="63">
        <f>AC283-F283</f>
        <v>46.333333333333314</v>
      </c>
      <c r="J290" s="62" t="s">
        <v>56</v>
      </c>
      <c r="K290" s="1">
        <f>AA281*AB282*AB283*AB284+AA282*AB281*AB283*AB284+AA283*AB281*AB282*AB284+AA284*AB281*AB282*AB283</f>
        <v>6.3625983339450692E-3</v>
      </c>
      <c r="L290" s="1">
        <f>AC284+1*L274-F284</f>
        <v>207.33333333333331</v>
      </c>
      <c r="M290" s="1">
        <f>B290*C290*AH281+E290*F290*AH282+H290*I290*AH283+K290*L290*AH284</f>
        <v>3985.0964593220206</v>
      </c>
      <c r="O290" s="1" t="s">
        <v>30</v>
      </c>
      <c r="P290" s="1">
        <f>1*H275</f>
        <v>4320</v>
      </c>
      <c r="Q290" s="1">
        <f t="shared" si="30"/>
        <v>0.44716696349424123</v>
      </c>
      <c r="R290" s="1">
        <f t="shared" si="31"/>
        <v>15760.399628354533</v>
      </c>
    </row>
    <row r="291" spans="1:20" ht="30" x14ac:dyDescent="0.25">
      <c r="I291" s="84"/>
      <c r="J291" s="62" t="s">
        <v>52</v>
      </c>
      <c r="K291" s="85">
        <f>AB281*AB282*AB283*AB284</f>
        <v>0.99362992059991284</v>
      </c>
      <c r="L291" s="1">
        <f>AC284+0*L274-F284</f>
        <v>195.33333333333331</v>
      </c>
      <c r="M291" s="1">
        <f>B291*C291*AH281+E291*F291*AH282+H291*I291*AH283+K291*L291*AH284</f>
        <v>7763.5617796206516</v>
      </c>
      <c r="O291" s="64" t="s">
        <v>65</v>
      </c>
      <c r="P291" s="65">
        <f>SUM(P287:P290)</f>
        <v>55700</v>
      </c>
      <c r="Q291" s="96" t="s">
        <v>108</v>
      </c>
      <c r="R291" s="97">
        <f>SUM(R287:R290)</f>
        <v>50663.653063533842</v>
      </c>
    </row>
    <row r="292" spans="1:20" x14ac:dyDescent="0.25">
      <c r="L292" s="176" t="s">
        <v>63</v>
      </c>
      <c r="M292" s="177">
        <f>SUM(M287:M291)</f>
        <v>12664.446055938548</v>
      </c>
    </row>
    <row r="293" spans="1:20" x14ac:dyDescent="0.25">
      <c r="L293" s="176"/>
      <c r="M293" s="177"/>
    </row>
    <row r="294" spans="1:20" x14ac:dyDescent="0.25">
      <c r="A294" s="178" t="s">
        <v>90</v>
      </c>
      <c r="B294" s="178"/>
      <c r="C294" s="178"/>
      <c r="D294" s="178"/>
      <c r="E294" s="178"/>
      <c r="F294" s="178"/>
      <c r="G294" s="178"/>
      <c r="H294" s="178"/>
      <c r="I294" s="178"/>
      <c r="J294" s="178"/>
      <c r="K294" s="178"/>
      <c r="L294" s="178"/>
      <c r="M294" s="178"/>
      <c r="N294" s="178"/>
    </row>
    <row r="295" spans="1:20" ht="15.75" x14ac:dyDescent="0.25">
      <c r="A295" s="87" t="s">
        <v>77</v>
      </c>
      <c r="B295" s="62" t="s">
        <v>49</v>
      </c>
      <c r="C295" s="90" t="s">
        <v>78</v>
      </c>
      <c r="D295" s="62" t="s">
        <v>88</v>
      </c>
      <c r="E295" s="87" t="s">
        <v>76</v>
      </c>
      <c r="F295" s="62" t="s">
        <v>57</v>
      </c>
      <c r="G295" s="90" t="s">
        <v>102</v>
      </c>
      <c r="H295" s="62" t="s">
        <v>88</v>
      </c>
      <c r="I295" s="87" t="s">
        <v>86</v>
      </c>
      <c r="J295" s="62" t="s">
        <v>61</v>
      </c>
      <c r="K295" s="90" t="s">
        <v>103</v>
      </c>
      <c r="L295" s="62" t="s">
        <v>88</v>
      </c>
      <c r="M295" s="87" t="s">
        <v>75</v>
      </c>
      <c r="N295" s="62" t="s">
        <v>84</v>
      </c>
      <c r="O295" s="90" t="s">
        <v>87</v>
      </c>
      <c r="P295" s="62" t="s">
        <v>88</v>
      </c>
    </row>
    <row r="296" spans="1:20" ht="24.75" x14ac:dyDescent="0.25">
      <c r="A296" s="62" t="s">
        <v>51</v>
      </c>
      <c r="B296" s="86">
        <v>1.8543515323034395E-6</v>
      </c>
      <c r="C296" s="86">
        <f>AC281+1*L274</f>
        <v>67</v>
      </c>
      <c r="D296" s="86">
        <f>MAX(B296*1.5*((C296-F281)*500/2),0)</f>
        <v>0</v>
      </c>
      <c r="E296" s="62" t="s">
        <v>55</v>
      </c>
      <c r="F296" s="86">
        <v>1.0136894264434628E-10</v>
      </c>
      <c r="G296" s="86">
        <f>AC282+2*L274</f>
        <v>132.66666666666666</v>
      </c>
      <c r="H296" s="86">
        <f>F296*1.5*((G296-F282)*500/2+(G296-F284)*500)</f>
        <v>5.7400163772361076E-6</v>
      </c>
      <c r="I296" s="62" t="s">
        <v>59</v>
      </c>
      <c r="J296" s="86">
        <v>1.48816890159162E-13</v>
      </c>
      <c r="K296" s="86">
        <f>AC283+3*L274</f>
        <v>222.33333333333331</v>
      </c>
      <c r="L296" s="86">
        <f>J296*1.5*((K296-F283)*500/2+(K296-G296)*500)</f>
        <v>1.4602657346867769E-8</v>
      </c>
      <c r="M296" s="62" t="s">
        <v>83</v>
      </c>
      <c r="N296" s="86">
        <v>7.2220379000336843E-16</v>
      </c>
      <c r="O296" s="86">
        <f>AC284+4*L274</f>
        <v>319.33333333333331</v>
      </c>
      <c r="P296" s="86">
        <f>N296*1.5*((O296-K296)*500/2)</f>
        <v>2.6270162861372527E-11</v>
      </c>
    </row>
    <row r="297" spans="1:20" ht="24.75" x14ac:dyDescent="0.25">
      <c r="A297" s="62" t="s">
        <v>52</v>
      </c>
      <c r="B297" s="86">
        <v>0.99999814564846767</v>
      </c>
      <c r="C297" s="88">
        <f>AC281</f>
        <v>55</v>
      </c>
      <c r="D297" s="86">
        <f>MAX(B297*1.5*((C297-F281)*500/2),0)</f>
        <v>0</v>
      </c>
      <c r="E297" s="62" t="s">
        <v>56</v>
      </c>
      <c r="F297" s="86">
        <v>5.6519588911065149E-5</v>
      </c>
      <c r="G297" s="86">
        <f>AC282+1*L274</f>
        <v>120.66666666666666</v>
      </c>
      <c r="H297" s="86">
        <f>F297*1.5*((G297-F282)*500/2+(G297-F284)*500)</f>
        <v>2.437407271789684</v>
      </c>
      <c r="I297" s="62" t="s">
        <v>60</v>
      </c>
      <c r="J297" s="86">
        <v>8.3076037021391298E-8</v>
      </c>
      <c r="K297" s="86">
        <f>AC283+2*L274</f>
        <v>210.33333333333331</v>
      </c>
      <c r="L297" s="86">
        <f>J297*1.5*((K297-F283)*500/2+(K297-G297)*500)</f>
        <v>7.7779939661277598E-3</v>
      </c>
      <c r="M297" s="62" t="s">
        <v>59</v>
      </c>
      <c r="N297" s="86">
        <v>3.8961170943398391E-10</v>
      </c>
      <c r="O297" s="86">
        <f>AC284+3*L274</f>
        <v>307.33333333333331</v>
      </c>
      <c r="P297" s="86">
        <f>N297*1.5*((O297-K297)*500/2)</f>
        <v>1.4172125930661165E-5</v>
      </c>
    </row>
    <row r="298" spans="1:20" x14ac:dyDescent="0.25">
      <c r="A298" s="86"/>
      <c r="B298" s="86"/>
      <c r="C298" s="89" t="s">
        <v>89</v>
      </c>
      <c r="D298" s="89">
        <f>SUM(D296:D297)</f>
        <v>0</v>
      </c>
      <c r="E298" s="62" t="s">
        <v>52</v>
      </c>
      <c r="F298" s="86">
        <v>0.99994348030971991</v>
      </c>
      <c r="G298" s="86">
        <f>AC282+0*L274</f>
        <v>108.66666666666666</v>
      </c>
      <c r="H298" s="86">
        <f>F298*1.5*((G298-F282)*500/2+(G298-F284)*500)</f>
        <v>29623.325604175439</v>
      </c>
      <c r="I298" s="62" t="s">
        <v>56</v>
      </c>
      <c r="J298" s="86">
        <v>1.9316582895146321E-6</v>
      </c>
      <c r="K298" s="86">
        <f>AC283+1*L274</f>
        <v>198.33333333333331</v>
      </c>
      <c r="L298" s="86">
        <f>J298*1.5*((K298-F283)*500/2+(K298-G298)*500)</f>
        <v>0.17215904505299157</v>
      </c>
      <c r="M298" s="62" t="s">
        <v>60</v>
      </c>
      <c r="N298" s="86">
        <v>7.4806628276508933E-6</v>
      </c>
      <c r="O298" s="86">
        <f>AC284+2*L274</f>
        <v>295.33333333333331</v>
      </c>
      <c r="P298" s="86">
        <f>N298*1.5*((O298-K298)*500/2)</f>
        <v>0.27210911035580126</v>
      </c>
    </row>
    <row r="299" spans="1:20" x14ac:dyDescent="0.25">
      <c r="A299" s="86"/>
      <c r="B299" s="86"/>
      <c r="C299" s="86"/>
      <c r="D299" s="86"/>
      <c r="E299" s="86"/>
      <c r="F299" s="86"/>
      <c r="G299" s="89" t="s">
        <v>79</v>
      </c>
      <c r="H299" s="89">
        <f>SUM(H296:H298)</f>
        <v>29625.763017187244</v>
      </c>
      <c r="I299" s="62" t="s">
        <v>52</v>
      </c>
      <c r="J299" s="86">
        <v>0.99847549144456305</v>
      </c>
      <c r="K299" s="86">
        <f>AC283+0*L274</f>
        <v>186.33333333333331</v>
      </c>
      <c r="L299" s="86">
        <f>J299*1.5*((K299-F283)*500/2+(K299-G298)*500)</f>
        <v>75509.709040495058</v>
      </c>
      <c r="M299" s="62" t="s">
        <v>56</v>
      </c>
      <c r="N299" s="86">
        <v>6.3625983339450692E-3</v>
      </c>
      <c r="O299" s="86">
        <f>AC284+1*L274</f>
        <v>283.33333333333331</v>
      </c>
      <c r="P299" s="86">
        <f>N299*1.5*((O299-K299)*500/2)</f>
        <v>231.43951439725188</v>
      </c>
    </row>
    <row r="300" spans="1:20" x14ac:dyDescent="0.25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9" t="s">
        <v>79</v>
      </c>
      <c r="L300" s="89">
        <f>SUM(L296:L299)</f>
        <v>75509.888977548675</v>
      </c>
      <c r="M300" s="62" t="s">
        <v>52</v>
      </c>
      <c r="N300" s="86">
        <v>0.99362992059991284</v>
      </c>
      <c r="O300" s="86">
        <f>AC284+0*L274</f>
        <v>271.33333333333331</v>
      </c>
      <c r="P300" s="86">
        <f>N300*1.5*((O300-K299)*500/2)</f>
        <v>31671.953719122219</v>
      </c>
      <c r="Q300" s="179" t="s">
        <v>80</v>
      </c>
      <c r="R300" s="179"/>
      <c r="S300" s="180">
        <f>D298+H299+L300+P301</f>
        <v>137039.3173515379</v>
      </c>
      <c r="T300" s="180"/>
    </row>
    <row r="301" spans="1:20" x14ac:dyDescent="0.25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9" t="s">
        <v>79</v>
      </c>
      <c r="P301" s="89">
        <f>SUM(P296:P300)</f>
        <v>31903.665356801979</v>
      </c>
      <c r="Q301" s="179"/>
      <c r="R301" s="179"/>
      <c r="S301" s="180"/>
      <c r="T301" s="180"/>
    </row>
    <row r="302" spans="1:20" x14ac:dyDescent="0.25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</row>
    <row r="303" spans="1:20" x14ac:dyDescent="0.25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</row>
    <row r="304" spans="1:20" x14ac:dyDescent="0.25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</row>
    <row r="305" spans="1:34" ht="24.75" thickBot="1" x14ac:dyDescent="0.3">
      <c r="O305" s="131" t="s">
        <v>81</v>
      </c>
      <c r="P305" s="131"/>
      <c r="Q305" s="131">
        <f>(R291+P291+M292+S300)/AC284</f>
        <v>943.73740714131566</v>
      </c>
      <c r="R305" s="131"/>
    </row>
    <row r="306" spans="1:34" x14ac:dyDescent="0.25">
      <c r="A306" s="181" t="s">
        <v>112</v>
      </c>
      <c r="B306" s="182"/>
    </row>
    <row r="307" spans="1:34" ht="15.75" thickBot="1" x14ac:dyDescent="0.3">
      <c r="A307" s="183"/>
      <c r="B307" s="184"/>
    </row>
    <row r="308" spans="1:34" ht="21" x14ac:dyDescent="0.35">
      <c r="A308" s="185" t="s">
        <v>14</v>
      </c>
      <c r="B308" s="185"/>
      <c r="C308" s="165"/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O308" s="166" t="s">
        <v>72</v>
      </c>
      <c r="P308" s="166"/>
      <c r="Q308" s="166"/>
      <c r="R308" s="166"/>
      <c r="S308" s="166"/>
      <c r="T308" s="166"/>
      <c r="U308" s="166"/>
      <c r="V308" s="166"/>
    </row>
    <row r="309" spans="1:34" ht="36" x14ac:dyDescent="0.25">
      <c r="A309" s="4" t="s">
        <v>15</v>
      </c>
      <c r="B309" s="4" t="s">
        <v>16</v>
      </c>
      <c r="C309" s="4" t="s">
        <v>31</v>
      </c>
      <c r="D309" s="6" t="s">
        <v>17</v>
      </c>
      <c r="E309" s="6" t="s">
        <v>18</v>
      </c>
      <c r="F309" s="6" t="s">
        <v>19</v>
      </c>
      <c r="G309" s="6" t="s">
        <v>20</v>
      </c>
      <c r="H309" s="6" t="s">
        <v>21</v>
      </c>
      <c r="I309" s="6" t="s">
        <v>22</v>
      </c>
      <c r="J309" s="6" t="s">
        <v>23</v>
      </c>
      <c r="K309" s="6" t="s">
        <v>24</v>
      </c>
      <c r="L309" s="6" t="s">
        <v>25</v>
      </c>
      <c r="M309" s="6" t="s">
        <v>26</v>
      </c>
      <c r="N309" s="8"/>
      <c r="O309" s="167" t="s">
        <v>32</v>
      </c>
      <c r="P309" s="167" t="s">
        <v>35</v>
      </c>
      <c r="Q309" s="167" t="s">
        <v>66</v>
      </c>
      <c r="R309" s="99" t="s">
        <v>67</v>
      </c>
      <c r="S309" s="99" t="s">
        <v>68</v>
      </c>
      <c r="T309" s="167" t="s">
        <v>69</v>
      </c>
      <c r="U309" s="71" t="s">
        <v>33</v>
      </c>
      <c r="V309" s="99" t="s">
        <v>70</v>
      </c>
    </row>
    <row r="310" spans="1:34" x14ac:dyDescent="0.25">
      <c r="A310" s="3" t="s">
        <v>27</v>
      </c>
      <c r="B310" s="3">
        <v>0</v>
      </c>
      <c r="C310" s="3">
        <v>0.3</v>
      </c>
      <c r="D310" s="3">
        <v>243</v>
      </c>
      <c r="E310" s="3">
        <v>1.73</v>
      </c>
      <c r="F310" s="3">
        <v>5</v>
      </c>
      <c r="G310" s="169">
        <v>12</v>
      </c>
      <c r="H310" s="3">
        <v>1820</v>
      </c>
      <c r="I310" s="169">
        <v>19645</v>
      </c>
      <c r="J310" s="3">
        <v>20</v>
      </c>
      <c r="K310" s="3">
        <v>40</v>
      </c>
      <c r="L310" s="3">
        <v>500</v>
      </c>
      <c r="M310" s="3">
        <v>1000</v>
      </c>
      <c r="O310" s="168"/>
      <c r="P310" s="168"/>
      <c r="Q310" s="168"/>
      <c r="R310" s="72" t="s">
        <v>71</v>
      </c>
      <c r="S310" s="72" t="s">
        <v>71</v>
      </c>
      <c r="T310" s="168"/>
      <c r="U310" s="73">
        <v>500</v>
      </c>
      <c r="V310" s="3">
        <v>1.5</v>
      </c>
    </row>
    <row r="311" spans="1:34" x14ac:dyDescent="0.25">
      <c r="A311" s="3" t="s">
        <v>28</v>
      </c>
      <c r="B311" s="3">
        <v>0</v>
      </c>
      <c r="C311" s="3">
        <v>0.3</v>
      </c>
      <c r="D311" s="3">
        <v>254</v>
      </c>
      <c r="E311" s="3">
        <v>1.88</v>
      </c>
      <c r="F311" s="3">
        <v>3</v>
      </c>
      <c r="G311" s="170"/>
      <c r="H311" s="3">
        <v>2720</v>
      </c>
      <c r="I311" s="170"/>
      <c r="J311" s="5"/>
      <c r="K311" s="5"/>
      <c r="L311" s="5"/>
      <c r="M311" s="5"/>
      <c r="O311" s="74">
        <v>1</v>
      </c>
      <c r="P311" s="74">
        <v>106</v>
      </c>
      <c r="Q311" s="74">
        <v>110</v>
      </c>
      <c r="R311" s="74">
        <v>6</v>
      </c>
      <c r="S311" s="74">
        <v>5</v>
      </c>
      <c r="T311" s="74">
        <f>R311*$U$5/60+S311</f>
        <v>55</v>
      </c>
      <c r="U311" s="75"/>
    </row>
    <row r="312" spans="1:34" x14ac:dyDescent="0.25">
      <c r="A312" s="3" t="s">
        <v>29</v>
      </c>
      <c r="B312" s="3">
        <v>0</v>
      </c>
      <c r="C312" s="3">
        <v>0.3</v>
      </c>
      <c r="D312" s="3">
        <v>143</v>
      </c>
      <c r="E312" s="3">
        <v>2.4300000000000002</v>
      </c>
      <c r="F312" s="3">
        <v>8</v>
      </c>
      <c r="G312" s="170"/>
      <c r="H312" s="3">
        <v>3700</v>
      </c>
      <c r="I312" s="170"/>
      <c r="J312" s="5"/>
      <c r="K312" s="140" t="s">
        <v>73</v>
      </c>
      <c r="L312" s="141">
        <v>12</v>
      </c>
      <c r="M312" s="140" t="s">
        <v>74</v>
      </c>
      <c r="N312" s="141">
        <v>19645</v>
      </c>
      <c r="O312" s="74">
        <v>2</v>
      </c>
      <c r="P312" s="74">
        <v>76</v>
      </c>
      <c r="Q312" s="74">
        <v>40</v>
      </c>
      <c r="R312" s="74">
        <v>9</v>
      </c>
      <c r="S312" s="74">
        <v>2</v>
      </c>
      <c r="T312" s="74">
        <f t="shared" ref="T312:T314" si="32">R312*$U$5/60+S312</f>
        <v>77</v>
      </c>
      <c r="U312" s="75"/>
    </row>
    <row r="313" spans="1:34" x14ac:dyDescent="0.25">
      <c r="A313" s="3" t="s">
        <v>30</v>
      </c>
      <c r="B313" s="3">
        <v>0</v>
      </c>
      <c r="C313" s="3">
        <v>0.3</v>
      </c>
      <c r="D313" s="3">
        <v>449</v>
      </c>
      <c r="E313" s="3">
        <v>2.5299999999999998</v>
      </c>
      <c r="F313" s="3">
        <v>4</v>
      </c>
      <c r="G313" s="171"/>
      <c r="H313" s="3">
        <v>4320</v>
      </c>
      <c r="I313" s="171"/>
      <c r="J313" s="5"/>
      <c r="K313" s="140"/>
      <c r="L313" s="141"/>
      <c r="M313" s="140"/>
      <c r="N313" s="141"/>
      <c r="O313" s="74">
        <v>3</v>
      </c>
      <c r="P313" s="74">
        <v>95</v>
      </c>
      <c r="Q313" s="74">
        <v>67</v>
      </c>
      <c r="R313" s="74">
        <v>5</v>
      </c>
      <c r="S313" s="74">
        <v>4</v>
      </c>
      <c r="T313" s="74">
        <f t="shared" si="32"/>
        <v>45.666666666666664</v>
      </c>
      <c r="U313" s="75"/>
    </row>
    <row r="314" spans="1:34" ht="15.75" thickBo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O314" s="74">
        <v>4</v>
      </c>
      <c r="P314" s="74">
        <v>140</v>
      </c>
      <c r="Q314" s="94">
        <v>85</v>
      </c>
      <c r="R314" s="94">
        <v>8</v>
      </c>
      <c r="S314" s="94">
        <v>3</v>
      </c>
      <c r="T314" s="74">
        <f t="shared" si="32"/>
        <v>69.666666666666671</v>
      </c>
    </row>
    <row r="315" spans="1:34" x14ac:dyDescent="0.25">
      <c r="A315" s="142" t="s">
        <v>36</v>
      </c>
      <c r="B315" s="144" t="s">
        <v>106</v>
      </c>
      <c r="C315" s="144"/>
      <c r="D315" s="144"/>
      <c r="E315" s="144"/>
      <c r="F315" s="20" t="s">
        <v>27</v>
      </c>
      <c r="G315" s="20" t="s">
        <v>28</v>
      </c>
      <c r="H315" s="20" t="s">
        <v>29</v>
      </c>
      <c r="I315" s="20" t="s">
        <v>30</v>
      </c>
    </row>
    <row r="316" spans="1:34" ht="15.75" thickBot="1" x14ac:dyDescent="0.3">
      <c r="A316" s="143"/>
      <c r="B316" s="145"/>
      <c r="C316" s="145"/>
      <c r="D316" s="145"/>
      <c r="E316" s="145"/>
      <c r="F316" s="20">
        <v>126</v>
      </c>
      <c r="G316" s="26">
        <v>91</v>
      </c>
      <c r="H316" s="26">
        <v>67</v>
      </c>
      <c r="I316" s="26">
        <v>201</v>
      </c>
    </row>
    <row r="317" spans="1:34" ht="15.75" thickBot="1" x14ac:dyDescent="0.3">
      <c r="A317" s="143"/>
      <c r="B317" s="145"/>
      <c r="C317" s="145"/>
      <c r="D317" s="145"/>
      <c r="E317" s="145"/>
      <c r="F317" s="7"/>
      <c r="G317" s="146" t="s">
        <v>27</v>
      </c>
      <c r="H317" s="147"/>
      <c r="I317" s="147"/>
      <c r="J317" s="147"/>
      <c r="K317" s="148"/>
      <c r="L317" s="149" t="s">
        <v>28</v>
      </c>
      <c r="M317" s="150"/>
      <c r="N317" s="150"/>
      <c r="O317" s="150"/>
      <c r="P317" s="151"/>
      <c r="Q317" s="152" t="s">
        <v>29</v>
      </c>
      <c r="R317" s="153"/>
      <c r="S317" s="153"/>
      <c r="T317" s="153"/>
      <c r="U317" s="154"/>
      <c r="V317" s="155" t="s">
        <v>30</v>
      </c>
      <c r="W317" s="156"/>
      <c r="X317" s="156"/>
      <c r="Y317" s="156"/>
      <c r="Z317" s="157"/>
      <c r="AA317" s="158" t="s">
        <v>42</v>
      </c>
      <c r="AB317" s="159"/>
      <c r="AC317" s="160" t="s">
        <v>44</v>
      </c>
      <c r="AD317" s="162" t="s">
        <v>47</v>
      </c>
      <c r="AE317" s="163"/>
      <c r="AF317" s="163"/>
      <c r="AG317" s="164"/>
      <c r="AH317" s="138" t="s">
        <v>62</v>
      </c>
    </row>
    <row r="318" spans="1:34" ht="36.75" x14ac:dyDescent="0.25">
      <c r="A318" s="21" t="s">
        <v>32</v>
      </c>
      <c r="B318" s="22" t="s">
        <v>37</v>
      </c>
      <c r="C318" s="23" t="s">
        <v>33</v>
      </c>
      <c r="D318" s="22" t="s">
        <v>38</v>
      </c>
      <c r="E318" s="22" t="s">
        <v>34</v>
      </c>
      <c r="F318" s="25" t="s">
        <v>35</v>
      </c>
      <c r="G318" s="27" t="s">
        <v>39</v>
      </c>
      <c r="H318" s="10" t="s">
        <v>40</v>
      </c>
      <c r="I318" s="10" t="s">
        <v>45</v>
      </c>
      <c r="J318" s="10" t="s">
        <v>46</v>
      </c>
      <c r="K318" s="28" t="s">
        <v>41</v>
      </c>
      <c r="L318" s="30" t="s">
        <v>39</v>
      </c>
      <c r="M318" s="13" t="s">
        <v>40</v>
      </c>
      <c r="N318" s="13" t="s">
        <v>45</v>
      </c>
      <c r="O318" s="13" t="s">
        <v>46</v>
      </c>
      <c r="P318" s="31" t="s">
        <v>41</v>
      </c>
      <c r="Q318" s="33" t="s">
        <v>39</v>
      </c>
      <c r="R318" s="12" t="s">
        <v>40</v>
      </c>
      <c r="S318" s="12" t="s">
        <v>45</v>
      </c>
      <c r="T318" s="12" t="s">
        <v>46</v>
      </c>
      <c r="U318" s="34" t="s">
        <v>41</v>
      </c>
      <c r="V318" s="36" t="s">
        <v>39</v>
      </c>
      <c r="W318" s="11" t="s">
        <v>40</v>
      </c>
      <c r="X318" s="11" t="s">
        <v>45</v>
      </c>
      <c r="Y318" s="11" t="s">
        <v>46</v>
      </c>
      <c r="Z318" s="37" t="s">
        <v>41</v>
      </c>
      <c r="AA318" s="39" t="s">
        <v>41</v>
      </c>
      <c r="AB318" s="40" t="s">
        <v>43</v>
      </c>
      <c r="AC318" s="161"/>
      <c r="AD318" s="43" t="s">
        <v>27</v>
      </c>
      <c r="AE318" s="1" t="s">
        <v>28</v>
      </c>
      <c r="AF318" s="1" t="s">
        <v>29</v>
      </c>
      <c r="AG318" s="1" t="s">
        <v>30</v>
      </c>
      <c r="AH318" s="139"/>
    </row>
    <row r="319" spans="1:34" x14ac:dyDescent="0.25">
      <c r="A319" s="24">
        <v>1</v>
      </c>
      <c r="B319" s="9">
        <v>6</v>
      </c>
      <c r="C319" s="9">
        <v>500</v>
      </c>
      <c r="D319" s="9">
        <v>5</v>
      </c>
      <c r="E319" s="48">
        <f>B319*C319/60+D319</f>
        <v>55</v>
      </c>
      <c r="F319" s="100">
        <v>106</v>
      </c>
      <c r="G319" s="49">
        <f>B$5*(1-AD319*C$5)</f>
        <v>0</v>
      </c>
      <c r="H319" s="50">
        <f>G319+E319</f>
        <v>55</v>
      </c>
      <c r="I319" s="15">
        <f>(H319/D$5)^E$5</f>
        <v>7.6511831764011648E-2</v>
      </c>
      <c r="J319" s="15">
        <f>(G319/D$5)^E$5</f>
        <v>0</v>
      </c>
      <c r="K319" s="29">
        <f>1-EXP(J319-I319)</f>
        <v>7.3658046035411151E-2</v>
      </c>
      <c r="L319" s="51">
        <f>B$6*(1-AE319*C$6)</f>
        <v>0</v>
      </c>
      <c r="M319" s="52">
        <f>L319+E319</f>
        <v>55</v>
      </c>
      <c r="N319" s="17">
        <f>(M319/D$6)^E$6</f>
        <v>5.633709759436846E-2</v>
      </c>
      <c r="O319" s="17">
        <f>(L319/D$6)^E$6</f>
        <v>0</v>
      </c>
      <c r="P319" s="32">
        <f>1-EXP(O319-N319)</f>
        <v>5.4779549360660096E-2</v>
      </c>
      <c r="Q319" s="53">
        <f>B$7*(1-AF319*C$7)</f>
        <v>0</v>
      </c>
      <c r="R319" s="54">
        <f>Q319+E319</f>
        <v>55</v>
      </c>
      <c r="S319" s="16">
        <f>(R319/D$7)^E$7</f>
        <v>9.8087748172662498E-2</v>
      </c>
      <c r="T319" s="16">
        <f>(Q319/D$7)^E$7</f>
        <v>0</v>
      </c>
      <c r="U319" s="35">
        <f>1-EXP(T319-S319)</f>
        <v>9.3430649540250821E-2</v>
      </c>
      <c r="V319" s="55">
        <f>B$8*(1-AG319*C$8)</f>
        <v>0</v>
      </c>
      <c r="W319" s="56">
        <f>V319+E319</f>
        <v>55</v>
      </c>
      <c r="X319" s="18">
        <f>(W319/D$8)^E$8</f>
        <v>4.9309927237744132E-3</v>
      </c>
      <c r="Y319" s="18">
        <f>(V319/D$8)^E$8</f>
        <v>0</v>
      </c>
      <c r="Z319" s="38">
        <f>1-EXP(Y319-X319)</f>
        <v>4.9188553371368737E-3</v>
      </c>
      <c r="AA319" s="41">
        <f>K319*P319*U319*Z319</f>
        <v>1.8543515323034395E-6</v>
      </c>
      <c r="AB319" s="42">
        <f>1-AA319</f>
        <v>0.99999814564846767</v>
      </c>
      <c r="AC319" s="47">
        <f>(AD319*F$5+AE319*F$6+AF319*F$7+AG319*F$8)+E319</f>
        <v>55</v>
      </c>
      <c r="AD319" s="43">
        <v>0</v>
      </c>
      <c r="AE319" s="1">
        <v>0</v>
      </c>
      <c r="AF319" s="1">
        <v>0</v>
      </c>
      <c r="AG319" s="1">
        <v>0</v>
      </c>
      <c r="AH319" s="74">
        <v>110</v>
      </c>
    </row>
    <row r="320" spans="1:34" x14ac:dyDescent="0.25">
      <c r="A320" s="76">
        <v>2</v>
      </c>
      <c r="B320" s="58">
        <v>9</v>
      </c>
      <c r="C320" s="9">
        <v>500</v>
      </c>
      <c r="D320" s="58">
        <v>2</v>
      </c>
      <c r="E320" s="48">
        <f t="shared" ref="E320:E322" si="33">B320*C320/60+D320</f>
        <v>77</v>
      </c>
      <c r="F320" s="100">
        <v>76</v>
      </c>
      <c r="G320" s="49">
        <f>H319*(1-AD320*C$5)</f>
        <v>55</v>
      </c>
      <c r="H320" s="50">
        <f>G320+E320</f>
        <v>132</v>
      </c>
      <c r="I320" s="15">
        <f>(H320/D$5)^E$5</f>
        <v>0.34793173894508389</v>
      </c>
      <c r="J320" s="15">
        <f>(G320/D$5)^E$5</f>
        <v>7.6511831764011648E-2</v>
      </c>
      <c r="K320" s="29">
        <f>1-EXP(J320-I320)</f>
        <v>0.23770366451454039</v>
      </c>
      <c r="L320" s="51">
        <f>M319*(1-AE320*C$6)</f>
        <v>55</v>
      </c>
      <c r="M320" s="52">
        <f>L320+E320</f>
        <v>132</v>
      </c>
      <c r="N320" s="17">
        <f>(M320/D$6)^E$6</f>
        <v>0.29214038913862722</v>
      </c>
      <c r="O320" s="17">
        <f>(L320/D$6)^E$6</f>
        <v>5.633709759436846E-2</v>
      </c>
      <c r="P320" s="32">
        <f>1-EXP(O320-N320)</f>
        <v>0.21006395424947955</v>
      </c>
      <c r="Q320" s="53">
        <f>R319*(1-AF320*C$7)</f>
        <v>38.5</v>
      </c>
      <c r="R320" s="54">
        <f>Q320+E320</f>
        <v>115.5</v>
      </c>
      <c r="S320" s="16">
        <f>(R320/D$7)^E$7</f>
        <v>0.59512425475112107</v>
      </c>
      <c r="T320" s="16">
        <f>(Q320/D$7)^E$7</f>
        <v>4.1229019029394576E-2</v>
      </c>
      <c r="U320" s="35">
        <f>1-EXP(T320-S320)</f>
        <v>0.42529317381842335</v>
      </c>
      <c r="V320" s="55">
        <f>W319*(1-AG320*C$8)</f>
        <v>55</v>
      </c>
      <c r="W320" s="56">
        <f>V320+E320</f>
        <v>132</v>
      </c>
      <c r="X320" s="18">
        <f>(W320/D$8)^E$8</f>
        <v>4.5171946303006208E-2</v>
      </c>
      <c r="Y320" s="18">
        <f>(V320/D$8)^E$8</f>
        <v>4.9309927237744132E-3</v>
      </c>
      <c r="Z320" s="38">
        <f>1-EXP(Y320-X320)</f>
        <v>3.9442038613110686E-2</v>
      </c>
      <c r="AA320" s="41">
        <f>K320*P320*U320*Z320</f>
        <v>8.3759712779614306E-4</v>
      </c>
      <c r="AB320" s="42">
        <f>1-AA320</f>
        <v>0.99916240287220381</v>
      </c>
      <c r="AC320" s="47">
        <f>AF320*F$7+E320+AC319</f>
        <v>140</v>
      </c>
      <c r="AD320" s="43">
        <v>0</v>
      </c>
      <c r="AE320" s="1">
        <v>0</v>
      </c>
      <c r="AF320" s="1">
        <v>1</v>
      </c>
      <c r="AG320" s="1">
        <v>0</v>
      </c>
      <c r="AH320" s="74">
        <v>40</v>
      </c>
    </row>
    <row r="321" spans="1:34" x14ac:dyDescent="0.25">
      <c r="A321" s="24">
        <v>3</v>
      </c>
      <c r="B321" s="9">
        <v>5</v>
      </c>
      <c r="C321" s="58">
        <v>500</v>
      </c>
      <c r="D321" s="58">
        <v>4</v>
      </c>
      <c r="E321" s="48">
        <f t="shared" si="33"/>
        <v>45.666666666666664</v>
      </c>
      <c r="F321" s="100">
        <v>95</v>
      </c>
      <c r="G321" s="68">
        <f>H320*(1-AD321*C$5)</f>
        <v>92.399999999999991</v>
      </c>
      <c r="H321" s="69">
        <f>G321+E321</f>
        <v>138.06666666666666</v>
      </c>
      <c r="I321" s="70">
        <f>(H321/D$5)^E$5</f>
        <v>0.37605800658011651</v>
      </c>
      <c r="J321" s="70">
        <f>(G321/D$5)^E$5</f>
        <v>0.18772134485664987</v>
      </c>
      <c r="K321" s="29">
        <f>1-EXP(J321-I321)</f>
        <v>0.17166420866995746</v>
      </c>
      <c r="L321" s="51">
        <f>M320*(1-AE321*C$6)</f>
        <v>92.399999999999991</v>
      </c>
      <c r="M321" s="52">
        <f>L321+E321</f>
        <v>138.06666666666666</v>
      </c>
      <c r="N321" s="17">
        <f>(M321/D$6)^E$6</f>
        <v>0.31789202412323359</v>
      </c>
      <c r="O321" s="17">
        <f>(L321/D$6)^E$6</f>
        <v>0.14940871089337018</v>
      </c>
      <c r="P321" s="32">
        <f>1-EXP(O321-N321)</f>
        <v>0.15505463728965418</v>
      </c>
      <c r="Q321" s="53">
        <f>R320*(1-AF321*C$7)</f>
        <v>80.849999999999994</v>
      </c>
      <c r="R321" s="54">
        <f>Q321+E321</f>
        <v>126.51666666666665</v>
      </c>
      <c r="S321" s="16">
        <f>(R321/D$7)^E$7</f>
        <v>0.74259571637521549</v>
      </c>
      <c r="T321" s="16">
        <f>(Q321/D$7)^E$7</f>
        <v>0.25014733930681299</v>
      </c>
      <c r="U321" s="35">
        <f>1-EXP(T321-S321)</f>
        <v>0.38887171151840638</v>
      </c>
      <c r="V321" s="55">
        <f>W320*(1-AG321*C$8)</f>
        <v>132</v>
      </c>
      <c r="W321" s="56">
        <f>V321+E321</f>
        <v>177.66666666666666</v>
      </c>
      <c r="X321" s="18">
        <f>(W321/D$8)^E$8</f>
        <v>9.5789922449281015E-2</v>
      </c>
      <c r="Y321" s="18">
        <f>(V321/D$8)^E$8</f>
        <v>4.5171946303006208E-2</v>
      </c>
      <c r="Z321" s="38">
        <f>1-EXP(Y321-X321)</f>
        <v>4.9358230996020658E-2</v>
      </c>
      <c r="AA321" s="41">
        <f>K321*P321*U321*Z321</f>
        <v>5.1089358903035401E-4</v>
      </c>
      <c r="AB321" s="42">
        <f>1-AA321</f>
        <v>0.99948910641096966</v>
      </c>
      <c r="AC321" s="47">
        <f>(AF321*F$7)+E321+AC320</f>
        <v>193.66666666666666</v>
      </c>
      <c r="AD321" s="77">
        <v>1</v>
      </c>
      <c r="AE321" s="78">
        <v>1</v>
      </c>
      <c r="AF321" s="78">
        <v>1</v>
      </c>
      <c r="AG321" s="78">
        <v>0</v>
      </c>
      <c r="AH321" s="74">
        <v>67</v>
      </c>
    </row>
    <row r="322" spans="1:34" ht="15.75" thickBot="1" x14ac:dyDescent="0.3">
      <c r="A322" s="57">
        <v>4</v>
      </c>
      <c r="B322" s="58">
        <v>8</v>
      </c>
      <c r="C322" s="58">
        <v>500</v>
      </c>
      <c r="D322" s="9">
        <v>3</v>
      </c>
      <c r="E322" s="48">
        <f t="shared" si="33"/>
        <v>69.666666666666671</v>
      </c>
      <c r="F322" s="100">
        <v>140</v>
      </c>
      <c r="G322" s="68">
        <f>H321*(1-AD322*C$5)</f>
        <v>96.646666666666661</v>
      </c>
      <c r="H322" s="69">
        <f>G322+E322</f>
        <v>166.31333333333333</v>
      </c>
      <c r="I322" s="70">
        <f>(H322/D$5)^E$5</f>
        <v>0.51892545440479432</v>
      </c>
      <c r="J322" s="70">
        <f>(G322/D$5)^E$5</f>
        <v>0.20289645018695066</v>
      </c>
      <c r="K322" s="29">
        <f>1-EXP(J322-I322)</f>
        <v>0.27096169532483416</v>
      </c>
      <c r="L322" s="51">
        <f>M321*(1-AE322*C$6)</f>
        <v>96.646666666666661</v>
      </c>
      <c r="M322" s="52">
        <f>L322+E322</f>
        <v>166.31333333333333</v>
      </c>
      <c r="N322" s="17">
        <f>(M322/D$6)^E$6</f>
        <v>0.45108200336097515</v>
      </c>
      <c r="O322" s="17">
        <f>(L322/D$6)^E$6</f>
        <v>0.16257881242500377</v>
      </c>
      <c r="P322" s="32">
        <f>1-EXP(O322-N322)</f>
        <v>0.25061558609399515</v>
      </c>
      <c r="Q322" s="53">
        <f>R321*(1-AF322*C$7)</f>
        <v>88.561666666666653</v>
      </c>
      <c r="R322" s="54">
        <f>Q322+E322</f>
        <v>158.22833333333332</v>
      </c>
      <c r="S322" s="16">
        <f>(R322/D$7)^E$7</f>
        <v>1.2787750819989758</v>
      </c>
      <c r="T322" s="16">
        <f>(Q322/D$7)^E$7</f>
        <v>0.31213371182389532</v>
      </c>
      <c r="U322" s="35">
        <f>1-EXP(T322-S322)</f>
        <v>0.61964162179992455</v>
      </c>
      <c r="V322" s="55">
        <f>W321*(1-AG322*C$8)</f>
        <v>124.36666666666665</v>
      </c>
      <c r="W322" s="56">
        <f>V322+E322</f>
        <v>194.0333333333333</v>
      </c>
      <c r="X322" s="18">
        <f>(W322/D$8)^E$8</f>
        <v>0.11971371522436358</v>
      </c>
      <c r="Y322" s="18">
        <f>(V322/D$8)^E$8</f>
        <v>3.8852401036237806E-2</v>
      </c>
      <c r="Z322" s="38">
        <f>1-EXP(Y322-X322)</f>
        <v>7.7678404505555187E-2</v>
      </c>
      <c r="AA322" s="41">
        <f>K322*P322*U322*Z322</f>
        <v>3.2685629710546833E-3</v>
      </c>
      <c r="AB322" s="42">
        <f>1-AA322</f>
        <v>0.99673143702894529</v>
      </c>
      <c r="AC322" s="47">
        <f>(AF322*F$7)+E322+AC321</f>
        <v>271.33333333333331</v>
      </c>
      <c r="AD322" s="80">
        <v>1</v>
      </c>
      <c r="AE322" s="45">
        <v>1</v>
      </c>
      <c r="AF322" s="81">
        <v>1</v>
      </c>
      <c r="AG322" s="45">
        <v>1</v>
      </c>
      <c r="AH322" s="94">
        <v>85</v>
      </c>
    </row>
    <row r="323" spans="1:34" ht="18.75" x14ac:dyDescent="0.3">
      <c r="A323" s="132" t="s">
        <v>114</v>
      </c>
      <c r="B323" s="132"/>
      <c r="C323" s="132"/>
      <c r="D323" s="132"/>
      <c r="E323" s="132"/>
      <c r="F323" s="132"/>
      <c r="G323" s="132"/>
      <c r="H323" s="132"/>
      <c r="I323" s="132"/>
      <c r="J323" s="132"/>
      <c r="AG323" s="46"/>
    </row>
    <row r="324" spans="1:34" ht="15.75" x14ac:dyDescent="0.25">
      <c r="A324" s="19" t="s">
        <v>58</v>
      </c>
      <c r="B324" s="60" t="s">
        <v>49</v>
      </c>
      <c r="C324" s="61" t="s">
        <v>50</v>
      </c>
      <c r="D324" s="19" t="s">
        <v>48</v>
      </c>
      <c r="E324" s="60" t="s">
        <v>57</v>
      </c>
      <c r="F324" s="61" t="s">
        <v>50</v>
      </c>
      <c r="G324" s="19" t="s">
        <v>54</v>
      </c>
      <c r="H324" s="60" t="s">
        <v>61</v>
      </c>
      <c r="I324" s="61" t="s">
        <v>50</v>
      </c>
      <c r="J324" s="19" t="s">
        <v>82</v>
      </c>
      <c r="K324" s="83" t="s">
        <v>84</v>
      </c>
      <c r="L324" s="61" t="s">
        <v>50</v>
      </c>
      <c r="M324" s="61" t="s">
        <v>85</v>
      </c>
      <c r="O324" s="174" t="s">
        <v>64</v>
      </c>
      <c r="P324" s="174"/>
      <c r="Q324" s="175" t="s">
        <v>109</v>
      </c>
      <c r="R324" s="175"/>
    </row>
    <row r="325" spans="1:34" ht="24.75" x14ac:dyDescent="0.25">
      <c r="A325" s="61" t="s">
        <v>51</v>
      </c>
      <c r="B325" s="1">
        <f>AA319</f>
        <v>1.8543515323034395E-6</v>
      </c>
      <c r="C325" s="59">
        <f>MAX(AC319+1*L312-F319,0)</f>
        <v>0</v>
      </c>
      <c r="D325" s="62" t="s">
        <v>55</v>
      </c>
      <c r="E325" s="1">
        <f>AA319*AA320</f>
        <v>1.5531995173817377E-9</v>
      </c>
      <c r="F325" s="1">
        <f>MAX(AC320+2*L312-F320,0)</f>
        <v>88</v>
      </c>
      <c r="G325" s="62" t="s">
        <v>59</v>
      </c>
      <c r="H325" s="1">
        <f>AA319*AA320*AA321</f>
        <v>7.9351967591536971E-13</v>
      </c>
      <c r="I325" s="1">
        <f>AC321+3*L312-F321</f>
        <v>134.66666666666666</v>
      </c>
      <c r="J325" s="62" t="s">
        <v>83</v>
      </c>
      <c r="K325" s="1">
        <f>AA319*AA320*AA321*AA322</f>
        <v>2.5936690295002901E-15</v>
      </c>
      <c r="L325" s="1">
        <f>AC322+4*L312-F322</f>
        <v>179.33333333333331</v>
      </c>
      <c r="M325" s="1">
        <f>B325*C325*AH319+E325*F325*AH320+H325*I325*AH321+K325*L325*AH322</f>
        <v>5.4744615008745153E-6</v>
      </c>
      <c r="O325" s="1" t="s">
        <v>27</v>
      </c>
      <c r="P325" s="1">
        <f>2*H310</f>
        <v>3640</v>
      </c>
      <c r="Q325" s="1">
        <f>(K319*(1-P319)*(1-U319)*(1-Z319))+(P319*(1-K319)*(1-U319)*(1-Z319))+(U319*(1-K319)*(1-P319)*(1-Z319))+(Z319*(1-K319)*(1-P319)*(1-U319))</f>
        <v>0.19389466846386108</v>
      </c>
      <c r="R325" s="1">
        <f>Q325*(L$7*(J$5*K$5+L$5)+I$5)</f>
        <v>6833.8175900087836</v>
      </c>
    </row>
    <row r="326" spans="1:34" ht="24.75" x14ac:dyDescent="0.25">
      <c r="A326" s="62" t="s">
        <v>52</v>
      </c>
      <c r="B326" s="1">
        <f>AB319</f>
        <v>0.99999814564846767</v>
      </c>
      <c r="C326" s="59">
        <f>MAX(AC319-F319,0)</f>
        <v>0</v>
      </c>
      <c r="D326" s="62" t="s">
        <v>56</v>
      </c>
      <c r="E326" s="1">
        <f>AA319*AB320+AA320*AB319</f>
        <v>8.3944837292941176E-4</v>
      </c>
      <c r="F326" s="1">
        <f>MAX(AC320+1*L312-F320,0)</f>
        <v>76</v>
      </c>
      <c r="G326" s="62" t="s">
        <v>60</v>
      </c>
      <c r="H326" s="1">
        <f>AA319*AA320*AB321+AA320*AA321*AB319+AA319*AA321*AB320</f>
        <v>4.3042119804930406E-7</v>
      </c>
      <c r="I326" s="1">
        <f>AC321+2*L312-F321</f>
        <v>122.66666666666666</v>
      </c>
      <c r="J326" s="62" t="s">
        <v>59</v>
      </c>
      <c r="K326">
        <f>AB319*AA320*AA321*AA322+AB320*AA319*AA321*AA322*+AB321*AA319*AA320*AA322+AB322*AA319*AA320*AA321</f>
        <v>1.3994816136913191E-9</v>
      </c>
      <c r="L326" s="1">
        <f>AC322+3*L312-F322</f>
        <v>167.33333333333331</v>
      </c>
      <c r="M326" s="1">
        <f>B326*C326*AH319+E326*F326*AH320+H326*I326*AH321+K326*L326*AH322</f>
        <v>2.5554804473519317</v>
      </c>
      <c r="O326" s="1" t="s">
        <v>28</v>
      </c>
      <c r="P326" s="1">
        <f>2*H311</f>
        <v>5440</v>
      </c>
      <c r="Q326" s="1">
        <f t="shared" ref="Q326:Q328" si="34">(K320*(1-P320)*(1-U320)*(1-Z320))+(P320*(1-K320)*(1-U320)*(1-Z320))+(U320*(1-K320)*(1-P320)*(1-Z320))+(Z320*(1-K320)*(1-P320)*(1-U320))</f>
        <v>0.45170085093206519</v>
      </c>
      <c r="R326" s="1">
        <f t="shared" ref="R326:R328" si="35">Q326*(L$7*(J$5*K$5+L$5)+I$5)</f>
        <v>15920.196491100638</v>
      </c>
    </row>
    <row r="327" spans="1:34" ht="24.75" x14ac:dyDescent="0.25">
      <c r="A327" s="1"/>
      <c r="B327" s="1"/>
      <c r="C327" s="1"/>
      <c r="D327" s="62" t="s">
        <v>52</v>
      </c>
      <c r="E327" s="1">
        <f>AB319*AB320</f>
        <v>0.99916055007387106</v>
      </c>
      <c r="F327" s="59">
        <f>MAX(AC320-F320,0)</f>
        <v>64</v>
      </c>
      <c r="G327" s="62" t="s">
        <v>56</v>
      </c>
      <c r="H327" s="1">
        <f>AA319*AB320*AB321+AA320*AB319*AB321*+AA321*AB319*AB320</f>
        <v>2.2791963008002346E-6</v>
      </c>
      <c r="I327" s="1">
        <f>AC321+1*L312-F321</f>
        <v>110.66666666666666</v>
      </c>
      <c r="J327" s="62" t="s">
        <v>60</v>
      </c>
      <c r="K327" s="1">
        <f>AA319*AA320*AB321*AB322 + AA319*AA321*AB320*AB322 + AA319*AA322*AB320*AB321 + AA320*AA321*AB319*AB322 + AA320*AA322*AB319*AB321 + AA321*AA322*AB319*AB320</f>
        <v>4.8398885024824742E-6</v>
      </c>
      <c r="L327" s="1">
        <f>AC322+2*L312-F322</f>
        <v>155.33333333333331</v>
      </c>
      <c r="M327" s="1">
        <f>B327*C327*AH319+E327*F327*AH320+H327*I327*AH321+K327*L327*AH322</f>
        <v>2557.9318103311425</v>
      </c>
      <c r="O327" s="1" t="s">
        <v>29</v>
      </c>
      <c r="P327" s="1">
        <f>3*(F312*(J310*K310+L310)+H312)</f>
        <v>42300</v>
      </c>
      <c r="Q327" s="1">
        <f t="shared" si="34"/>
        <v>0.43873322826566613</v>
      </c>
      <c r="R327" s="1">
        <f t="shared" si="35"/>
        <v>15463.152630223403</v>
      </c>
    </row>
    <row r="328" spans="1:34" ht="24.75" x14ac:dyDescent="0.25">
      <c r="A328" s="1"/>
      <c r="B328" s="1"/>
      <c r="C328" s="1"/>
      <c r="D328" s="1"/>
      <c r="E328" s="1"/>
      <c r="F328" s="1"/>
      <c r="G328" s="62" t="s">
        <v>52</v>
      </c>
      <c r="H328" s="1">
        <f>AB319*AB320*AB321</f>
        <v>0.99865008535442634</v>
      </c>
      <c r="I328" s="63">
        <f>AC321-F321</f>
        <v>98.666666666666657</v>
      </c>
      <c r="J328" s="62" t="s">
        <v>56</v>
      </c>
      <c r="K328" s="1">
        <f>AA319*AB320*AB321*AB322+AA320*AB319*AB321*AB322+AA321*AB319*AB320*AB322+AA322*AB319*AB320*AB321</f>
        <v>4.6092240394489965E-3</v>
      </c>
      <c r="L328" s="1">
        <f>AC322+1*L312-F322</f>
        <v>143.33333333333331</v>
      </c>
      <c r="M328" s="1">
        <f>B328*C328*AH319+E328*F328*AH320+H328*I328*AH321+K328*L328*AH322</f>
        <v>6657.8985437969468</v>
      </c>
      <c r="O328" s="1" t="s">
        <v>30</v>
      </c>
      <c r="P328" s="1">
        <f>1*H313</f>
        <v>4320</v>
      </c>
      <c r="Q328" s="1">
        <f t="shared" si="34"/>
        <v>0.46370457918990532</v>
      </c>
      <c r="R328" s="1">
        <f t="shared" si="35"/>
        <v>16343.267893548213</v>
      </c>
    </row>
    <row r="329" spans="1:34" ht="30" x14ac:dyDescent="0.25">
      <c r="I329" s="84"/>
      <c r="J329" s="62" t="s">
        <v>52</v>
      </c>
      <c r="K329" s="85">
        <f>AB319*AB320*AB321*AB322</f>
        <v>0.99538593466439629</v>
      </c>
      <c r="L329" s="1">
        <f>AC322+0*L312-F322</f>
        <v>131.33333333333331</v>
      </c>
      <c r="M329" s="1">
        <f>B329*C329*AH319+E329*F329*AH320+H329*I329*AH321+K329*L329*AH322</f>
        <v>11111.824983970209</v>
      </c>
      <c r="O329" s="64" t="s">
        <v>65</v>
      </c>
      <c r="P329" s="65">
        <f>SUM(P325:P328)</f>
        <v>55700</v>
      </c>
      <c r="Q329" s="96" t="s">
        <v>108</v>
      </c>
      <c r="R329" s="97">
        <f>SUM(R325:R328)</f>
        <v>54560.434604881033</v>
      </c>
    </row>
    <row r="330" spans="1:34" x14ac:dyDescent="0.25">
      <c r="L330" s="176" t="s">
        <v>63</v>
      </c>
      <c r="M330" s="177">
        <f>SUM(M325:M329)</f>
        <v>20330.210824020112</v>
      </c>
    </row>
    <row r="331" spans="1:34" x14ac:dyDescent="0.25">
      <c r="L331" s="176"/>
      <c r="M331" s="177"/>
    </row>
    <row r="332" spans="1:34" x14ac:dyDescent="0.25">
      <c r="A332" s="178" t="s">
        <v>90</v>
      </c>
      <c r="B332" s="178"/>
      <c r="C332" s="178"/>
      <c r="D332" s="178"/>
      <c r="E332" s="178"/>
      <c r="F332" s="178"/>
      <c r="G332" s="178"/>
      <c r="H332" s="178"/>
      <c r="I332" s="178"/>
      <c r="J332" s="178"/>
      <c r="K332" s="178"/>
      <c r="L332" s="178"/>
      <c r="M332" s="178"/>
      <c r="N332" s="178"/>
    </row>
    <row r="333" spans="1:34" ht="15.75" x14ac:dyDescent="0.25">
      <c r="A333" s="87" t="s">
        <v>77</v>
      </c>
      <c r="B333" s="62" t="s">
        <v>49</v>
      </c>
      <c r="C333" s="90" t="s">
        <v>78</v>
      </c>
      <c r="D333" s="62" t="s">
        <v>88</v>
      </c>
      <c r="E333" s="87" t="s">
        <v>75</v>
      </c>
      <c r="F333" s="62" t="s">
        <v>57</v>
      </c>
      <c r="G333" s="90" t="s">
        <v>87</v>
      </c>
      <c r="H333" s="62" t="s">
        <v>88</v>
      </c>
      <c r="I333" s="87" t="s">
        <v>76</v>
      </c>
      <c r="J333" s="62" t="s">
        <v>61</v>
      </c>
      <c r="K333" s="90" t="s">
        <v>102</v>
      </c>
      <c r="L333" s="62" t="s">
        <v>88</v>
      </c>
      <c r="M333" s="87" t="s">
        <v>86</v>
      </c>
      <c r="N333" s="62" t="s">
        <v>84</v>
      </c>
      <c r="O333" s="90" t="s">
        <v>103</v>
      </c>
      <c r="P333" s="62" t="s">
        <v>88</v>
      </c>
    </row>
    <row r="334" spans="1:34" ht="24.75" x14ac:dyDescent="0.25">
      <c r="A334" s="62" t="s">
        <v>51</v>
      </c>
      <c r="B334" s="86">
        <v>1.8543515323034395E-6</v>
      </c>
      <c r="C334" s="86">
        <f>AC319+1*L312</f>
        <v>67</v>
      </c>
      <c r="D334" s="86">
        <f>MAX(B334*1.5*((C334-F319)*500/2),0)</f>
        <v>0</v>
      </c>
      <c r="E334" s="62" t="s">
        <v>55</v>
      </c>
      <c r="F334" s="86">
        <v>1.5531995173817377E-9</v>
      </c>
      <c r="G334" s="86">
        <f>AC320+2*L312</f>
        <v>164</v>
      </c>
      <c r="H334" s="86">
        <f>F334*1.5*((G334-F320)*500/2+(G334-F321)*500+(G334-F322)*500)</f>
        <v>1.5959125041097356E-4</v>
      </c>
      <c r="I334" s="62" t="s">
        <v>59</v>
      </c>
      <c r="J334" s="86">
        <v>7.9351967591536971E-13</v>
      </c>
      <c r="K334" s="86">
        <f>AC321+3*L312</f>
        <v>229.66666666666666</v>
      </c>
      <c r="L334" s="86">
        <f>J334*1.5*((K334-G334)*500/2+(K334-G334)*500)</f>
        <v>5.8621266058247926E-8</v>
      </c>
      <c r="M334" s="62" t="s">
        <v>83</v>
      </c>
      <c r="N334" s="86">
        <v>2.5936690295002901E-15</v>
      </c>
      <c r="O334" s="86">
        <f>AC322+4*L312</f>
        <v>319.33333333333331</v>
      </c>
      <c r="P334" s="86">
        <f>N334*1.5*((O334-K334)*500/2)</f>
        <v>8.7212121116947252E-11</v>
      </c>
    </row>
    <row r="335" spans="1:34" ht="24.75" x14ac:dyDescent="0.25">
      <c r="A335" s="62" t="s">
        <v>52</v>
      </c>
      <c r="B335" s="86">
        <v>0.99999814564846767</v>
      </c>
      <c r="C335" s="88">
        <f>AC319</f>
        <v>55</v>
      </c>
      <c r="D335" s="86">
        <f>MAX(B335*1.5*((C335-F319)*500/2),0)</f>
        <v>0</v>
      </c>
      <c r="E335" s="62" t="s">
        <v>56</v>
      </c>
      <c r="F335" s="86">
        <v>8.3944837292941176E-4</v>
      </c>
      <c r="G335" s="86">
        <f>AC320+1*L312</f>
        <v>152</v>
      </c>
      <c r="H335" s="86">
        <f>F335*1.5*((G335-F320)*500/2+(G335-F321)*500+(G335-F322)*500)</f>
        <v>67.365731927585287</v>
      </c>
      <c r="I335" s="62" t="s">
        <v>60</v>
      </c>
      <c r="J335" s="86">
        <v>4.3042119804930406E-7</v>
      </c>
      <c r="K335" s="86">
        <f>AC321+2*L312</f>
        <v>217.66666666666666</v>
      </c>
      <c r="L335" s="86">
        <f>J335*1.5*((K335-G335)*500/2+(K335-G335)*500)</f>
        <v>3.1797366005892336E-2</v>
      </c>
      <c r="M335" s="62" t="s">
        <v>59</v>
      </c>
      <c r="N335" s="86">
        <v>1.3994816136913191E-9</v>
      </c>
      <c r="O335" s="86">
        <f>AC322+3*L312</f>
        <v>307.33333333333331</v>
      </c>
      <c r="P335" s="86">
        <f>N335*1.5*((O335-K335)*500/2)</f>
        <v>4.70575692603706E-5</v>
      </c>
    </row>
    <row r="336" spans="1:34" x14ac:dyDescent="0.25">
      <c r="A336" s="86"/>
      <c r="B336" s="86"/>
      <c r="C336" s="89" t="s">
        <v>89</v>
      </c>
      <c r="D336" s="89">
        <f>SUM(D334:D335)</f>
        <v>0</v>
      </c>
      <c r="E336" s="62" t="s">
        <v>52</v>
      </c>
      <c r="F336" s="86">
        <v>0.99916055007387106</v>
      </c>
      <c r="G336" s="86">
        <f>AC320+0*L312</f>
        <v>140</v>
      </c>
      <c r="H336" s="86">
        <f>F336*1.5*((G336-F320)*500/2+(G336-F321)*500)</f>
        <v>57701.521766766054</v>
      </c>
      <c r="I336" s="62" t="s">
        <v>56</v>
      </c>
      <c r="J336" s="86">
        <v>2.2791963008002346E-6</v>
      </c>
      <c r="K336" s="86">
        <f>AC321+1*L312</f>
        <v>205.66666666666666</v>
      </c>
      <c r="L336" s="86">
        <f>J336*1.5*((K336-G336)*500/2+(K336-F322)*500)</f>
        <v>0.16837562672161729</v>
      </c>
      <c r="M336" s="62" t="s">
        <v>60</v>
      </c>
      <c r="N336" s="86">
        <v>4.8398885024824742E-6</v>
      </c>
      <c r="O336" s="86">
        <f>AC322+2*L312</f>
        <v>295.33333333333331</v>
      </c>
      <c r="P336" s="86">
        <f>N336*1.5*((O336-K336)*500/2)</f>
        <v>0.16274125089597319</v>
      </c>
    </row>
    <row r="337" spans="1:22" x14ac:dyDescent="0.25">
      <c r="A337" s="86"/>
      <c r="B337" s="86"/>
      <c r="C337" s="86"/>
      <c r="D337" s="86"/>
      <c r="E337" s="86"/>
      <c r="F337" s="86"/>
      <c r="G337" s="89" t="s">
        <v>79</v>
      </c>
      <c r="H337" s="89">
        <f>SUM(H334:H336)</f>
        <v>57768.88765828489</v>
      </c>
      <c r="I337" s="62" t="s">
        <v>52</v>
      </c>
      <c r="J337" s="86">
        <v>0.99865008535442634</v>
      </c>
      <c r="K337" s="86">
        <f>AC321+0*L312</f>
        <v>193.66666666666666</v>
      </c>
      <c r="L337" s="86">
        <f>J337*1.5*((K337-G336)*500/2+(K337-F322)*500)</f>
        <v>60293.498903273481</v>
      </c>
      <c r="M337" s="62" t="s">
        <v>56</v>
      </c>
      <c r="N337" s="86">
        <v>4.6092240394489965E-3</v>
      </c>
      <c r="O337" s="86">
        <f>AC322+1*L312</f>
        <v>283.33333333333331</v>
      </c>
      <c r="P337" s="86">
        <f>N337*1.5*((O337-K337)*500/2)</f>
        <v>154.98515832647249</v>
      </c>
    </row>
    <row r="338" spans="1:22" x14ac:dyDescent="0.25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9" t="s">
        <v>79</v>
      </c>
      <c r="L338" s="89">
        <f>SUM(L334:L337)</f>
        <v>60293.699076324832</v>
      </c>
      <c r="M338" s="62" t="s">
        <v>52</v>
      </c>
      <c r="N338" s="86">
        <v>0.99538593466439629</v>
      </c>
      <c r="O338" s="86">
        <f>AC322+0*L312</f>
        <v>271.33333333333331</v>
      </c>
      <c r="P338" s="86">
        <f>N338*1.5*((O338-K337)*500/2)</f>
        <v>28990.615347100538</v>
      </c>
      <c r="Q338" s="179" t="s">
        <v>80</v>
      </c>
      <c r="R338" s="179"/>
      <c r="S338" s="180">
        <f>D336+H337+L338+P339</f>
        <v>147208.35002834527</v>
      </c>
      <c r="T338" s="180"/>
    </row>
    <row r="339" spans="1:22" x14ac:dyDescent="0.25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9" t="s">
        <v>79</v>
      </c>
      <c r="P339" s="89">
        <f>SUM(P334:P338)</f>
        <v>29145.763293735563</v>
      </c>
      <c r="Q339" s="179"/>
      <c r="R339" s="179"/>
      <c r="S339" s="180"/>
      <c r="T339" s="180"/>
    </row>
    <row r="340" spans="1:22" x14ac:dyDescent="0.25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</row>
    <row r="341" spans="1:22" x14ac:dyDescent="0.25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</row>
    <row r="342" spans="1:22" x14ac:dyDescent="0.25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</row>
    <row r="343" spans="1:22" ht="24.75" thickBot="1" x14ac:dyDescent="0.3">
      <c r="O343" s="131" t="s">
        <v>81</v>
      </c>
      <c r="P343" s="131"/>
      <c r="Q343" s="131">
        <f>(R329+P329+M330+S338)/AC322</f>
        <v>1023.8292215869034</v>
      </c>
      <c r="R343" s="131"/>
    </row>
    <row r="344" spans="1:22" x14ac:dyDescent="0.25">
      <c r="A344" s="181" t="s">
        <v>113</v>
      </c>
      <c r="B344" s="182"/>
    </row>
    <row r="345" spans="1:22" ht="15.75" thickBot="1" x14ac:dyDescent="0.3">
      <c r="A345" s="183"/>
      <c r="B345" s="184"/>
    </row>
    <row r="346" spans="1:22" ht="21" x14ac:dyDescent="0.35">
      <c r="A346" s="185" t="s">
        <v>14</v>
      </c>
      <c r="B346" s="185"/>
      <c r="C346" s="165"/>
      <c r="D346" s="165"/>
      <c r="E346" s="165"/>
      <c r="F346" s="165"/>
      <c r="G346" s="165"/>
      <c r="H346" s="165"/>
      <c r="I346" s="165"/>
      <c r="J346" s="165"/>
      <c r="K346" s="165"/>
      <c r="L346" s="165"/>
      <c r="M346" s="165"/>
      <c r="O346" s="166" t="s">
        <v>72</v>
      </c>
      <c r="P346" s="166"/>
      <c r="Q346" s="166"/>
      <c r="R346" s="166"/>
      <c r="S346" s="166"/>
      <c r="T346" s="166"/>
      <c r="U346" s="166"/>
      <c r="V346" s="166"/>
    </row>
    <row r="347" spans="1:22" ht="36" x14ac:dyDescent="0.25">
      <c r="A347" s="4" t="s">
        <v>15</v>
      </c>
      <c r="B347" s="4" t="s">
        <v>16</v>
      </c>
      <c r="C347" s="4" t="s">
        <v>31</v>
      </c>
      <c r="D347" s="6" t="s">
        <v>17</v>
      </c>
      <c r="E347" s="6" t="s">
        <v>18</v>
      </c>
      <c r="F347" s="6" t="s">
        <v>19</v>
      </c>
      <c r="G347" s="6" t="s">
        <v>20</v>
      </c>
      <c r="H347" s="6" t="s">
        <v>21</v>
      </c>
      <c r="I347" s="6" t="s">
        <v>22</v>
      </c>
      <c r="J347" s="6" t="s">
        <v>23</v>
      </c>
      <c r="K347" s="6" t="s">
        <v>24</v>
      </c>
      <c r="L347" s="6" t="s">
        <v>25</v>
      </c>
      <c r="M347" s="6" t="s">
        <v>26</v>
      </c>
      <c r="N347" s="8"/>
      <c r="O347" s="167" t="s">
        <v>32</v>
      </c>
      <c r="P347" s="167" t="s">
        <v>35</v>
      </c>
      <c r="Q347" s="167" t="s">
        <v>66</v>
      </c>
      <c r="R347" s="99" t="s">
        <v>67</v>
      </c>
      <c r="S347" s="99" t="s">
        <v>68</v>
      </c>
      <c r="T347" s="167" t="s">
        <v>69</v>
      </c>
      <c r="U347" s="71" t="s">
        <v>33</v>
      </c>
      <c r="V347" s="99" t="s">
        <v>70</v>
      </c>
    </row>
    <row r="348" spans="1:22" x14ac:dyDescent="0.25">
      <c r="A348" s="3" t="s">
        <v>27</v>
      </c>
      <c r="B348" s="3">
        <v>0</v>
      </c>
      <c r="C348" s="3">
        <v>0.3</v>
      </c>
      <c r="D348" s="3">
        <v>243</v>
      </c>
      <c r="E348" s="3">
        <v>1.73</v>
      </c>
      <c r="F348" s="3">
        <v>5</v>
      </c>
      <c r="G348" s="169">
        <v>12</v>
      </c>
      <c r="H348" s="3">
        <v>1820</v>
      </c>
      <c r="I348" s="169">
        <v>19645</v>
      </c>
      <c r="J348" s="3">
        <v>20</v>
      </c>
      <c r="K348" s="3">
        <v>40</v>
      </c>
      <c r="L348" s="3">
        <v>500</v>
      </c>
      <c r="M348" s="3">
        <v>1000</v>
      </c>
      <c r="O348" s="168"/>
      <c r="P348" s="168"/>
      <c r="Q348" s="168"/>
      <c r="R348" s="72" t="s">
        <v>71</v>
      </c>
      <c r="S348" s="72" t="s">
        <v>71</v>
      </c>
      <c r="T348" s="168"/>
      <c r="U348" s="73">
        <v>500</v>
      </c>
      <c r="V348" s="3">
        <v>1.5</v>
      </c>
    </row>
    <row r="349" spans="1:22" x14ac:dyDescent="0.25">
      <c r="A349" s="3" t="s">
        <v>28</v>
      </c>
      <c r="B349" s="3">
        <v>0</v>
      </c>
      <c r="C349" s="3">
        <v>0.3</v>
      </c>
      <c r="D349" s="3">
        <v>254</v>
      </c>
      <c r="E349" s="3">
        <v>1.88</v>
      </c>
      <c r="F349" s="3">
        <v>3</v>
      </c>
      <c r="G349" s="170"/>
      <c r="H349" s="3">
        <v>2720</v>
      </c>
      <c r="I349" s="170"/>
      <c r="J349" s="5"/>
      <c r="K349" s="5"/>
      <c r="L349" s="5"/>
      <c r="M349" s="5"/>
      <c r="O349" s="74">
        <v>1</v>
      </c>
      <c r="P349" s="74">
        <v>106</v>
      </c>
      <c r="Q349" s="74">
        <v>110</v>
      </c>
      <c r="R349" s="74">
        <v>6</v>
      </c>
      <c r="S349" s="74">
        <v>5</v>
      </c>
      <c r="T349" s="74">
        <f>R349*$U$5/60+S349</f>
        <v>55</v>
      </c>
      <c r="U349" s="75"/>
    </row>
    <row r="350" spans="1:22" x14ac:dyDescent="0.25">
      <c r="A350" s="3" t="s">
        <v>29</v>
      </c>
      <c r="B350" s="3">
        <v>0</v>
      </c>
      <c r="C350" s="3">
        <v>0.3</v>
      </c>
      <c r="D350" s="3">
        <v>143</v>
      </c>
      <c r="E350" s="3">
        <v>2.4300000000000002</v>
      </c>
      <c r="F350" s="3">
        <v>8</v>
      </c>
      <c r="G350" s="170"/>
      <c r="H350" s="3">
        <v>3700</v>
      </c>
      <c r="I350" s="170"/>
      <c r="J350" s="5"/>
      <c r="K350" s="140" t="s">
        <v>73</v>
      </c>
      <c r="L350" s="141">
        <v>12</v>
      </c>
      <c r="M350" s="140" t="s">
        <v>74</v>
      </c>
      <c r="N350" s="141">
        <v>19645</v>
      </c>
      <c r="O350" s="74">
        <v>2</v>
      </c>
      <c r="P350" s="74">
        <v>76</v>
      </c>
      <c r="Q350" s="74">
        <v>40</v>
      </c>
      <c r="R350" s="74">
        <v>9</v>
      </c>
      <c r="S350" s="74">
        <v>2</v>
      </c>
      <c r="T350" s="74">
        <f t="shared" ref="T350:T352" si="36">R350*$U$5/60+S350</f>
        <v>77</v>
      </c>
      <c r="U350" s="75"/>
    </row>
    <row r="351" spans="1:22" x14ac:dyDescent="0.25">
      <c r="A351" s="3" t="s">
        <v>30</v>
      </c>
      <c r="B351" s="3">
        <v>0</v>
      </c>
      <c r="C351" s="3">
        <v>0.3</v>
      </c>
      <c r="D351" s="3">
        <v>449</v>
      </c>
      <c r="E351" s="3">
        <v>2.5299999999999998</v>
      </c>
      <c r="F351" s="3">
        <v>4</v>
      </c>
      <c r="G351" s="171"/>
      <c r="H351" s="3">
        <v>4320</v>
      </c>
      <c r="I351" s="171"/>
      <c r="J351" s="5"/>
      <c r="K351" s="140"/>
      <c r="L351" s="141"/>
      <c r="M351" s="140"/>
      <c r="N351" s="141"/>
      <c r="O351" s="74">
        <v>3</v>
      </c>
      <c r="P351" s="74">
        <v>95</v>
      </c>
      <c r="Q351" s="74">
        <v>67</v>
      </c>
      <c r="R351" s="74">
        <v>5</v>
      </c>
      <c r="S351" s="74">
        <v>4</v>
      </c>
      <c r="T351" s="74">
        <f t="shared" si="36"/>
        <v>45.666666666666664</v>
      </c>
      <c r="U351" s="75"/>
    </row>
    <row r="352" spans="1:22" ht="15.75" thickBo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O352" s="74">
        <v>4</v>
      </c>
      <c r="P352" s="74">
        <v>140</v>
      </c>
      <c r="Q352" s="94">
        <v>85</v>
      </c>
      <c r="R352" s="94">
        <v>8</v>
      </c>
      <c r="S352" s="94">
        <v>3</v>
      </c>
      <c r="T352" s="74">
        <f t="shared" si="36"/>
        <v>69.666666666666671</v>
      </c>
    </row>
    <row r="353" spans="1:34" x14ac:dyDescent="0.25">
      <c r="A353" s="142" t="s">
        <v>36</v>
      </c>
      <c r="B353" s="144" t="s">
        <v>106</v>
      </c>
      <c r="C353" s="144"/>
      <c r="D353" s="144"/>
      <c r="E353" s="144"/>
      <c r="F353" s="20" t="s">
        <v>27</v>
      </c>
      <c r="G353" s="20" t="s">
        <v>28</v>
      </c>
      <c r="H353" s="20" t="s">
        <v>29</v>
      </c>
      <c r="I353" s="20" t="s">
        <v>30</v>
      </c>
    </row>
    <row r="354" spans="1:34" ht="15.75" thickBot="1" x14ac:dyDescent="0.3">
      <c r="A354" s="143"/>
      <c r="B354" s="145"/>
      <c r="C354" s="145"/>
      <c r="D354" s="145"/>
      <c r="E354" s="145"/>
      <c r="F354" s="20">
        <v>126</v>
      </c>
      <c r="G354" s="26">
        <v>91</v>
      </c>
      <c r="H354" s="26">
        <v>67</v>
      </c>
      <c r="I354" s="26">
        <v>201</v>
      </c>
    </row>
    <row r="355" spans="1:34" ht="15.75" thickBot="1" x14ac:dyDescent="0.3">
      <c r="A355" s="143"/>
      <c r="B355" s="145"/>
      <c r="C355" s="145"/>
      <c r="D355" s="145"/>
      <c r="E355" s="145"/>
      <c r="F355" s="7"/>
      <c r="G355" s="146" t="s">
        <v>27</v>
      </c>
      <c r="H355" s="147"/>
      <c r="I355" s="147"/>
      <c r="J355" s="147"/>
      <c r="K355" s="148"/>
      <c r="L355" s="149" t="s">
        <v>28</v>
      </c>
      <c r="M355" s="150"/>
      <c r="N355" s="150"/>
      <c r="O355" s="150"/>
      <c r="P355" s="151"/>
      <c r="Q355" s="152" t="s">
        <v>29</v>
      </c>
      <c r="R355" s="153"/>
      <c r="S355" s="153"/>
      <c r="T355" s="153"/>
      <c r="U355" s="154"/>
      <c r="V355" s="155" t="s">
        <v>30</v>
      </c>
      <c r="W355" s="156"/>
      <c r="X355" s="156"/>
      <c r="Y355" s="156"/>
      <c r="Z355" s="157"/>
      <c r="AA355" s="158" t="s">
        <v>42</v>
      </c>
      <c r="AB355" s="159"/>
      <c r="AC355" s="160" t="s">
        <v>44</v>
      </c>
      <c r="AD355" s="162" t="s">
        <v>47</v>
      </c>
      <c r="AE355" s="163"/>
      <c r="AF355" s="163"/>
      <c r="AG355" s="164"/>
      <c r="AH355" s="138" t="s">
        <v>62</v>
      </c>
    </row>
    <row r="356" spans="1:34" ht="36.75" x14ac:dyDescent="0.25">
      <c r="A356" s="21" t="s">
        <v>32</v>
      </c>
      <c r="B356" s="22" t="s">
        <v>37</v>
      </c>
      <c r="C356" s="23" t="s">
        <v>33</v>
      </c>
      <c r="D356" s="22" t="s">
        <v>38</v>
      </c>
      <c r="E356" s="22" t="s">
        <v>34</v>
      </c>
      <c r="F356" s="25" t="s">
        <v>35</v>
      </c>
      <c r="G356" s="27" t="s">
        <v>39</v>
      </c>
      <c r="H356" s="10" t="s">
        <v>40</v>
      </c>
      <c r="I356" s="10" t="s">
        <v>45</v>
      </c>
      <c r="J356" s="10" t="s">
        <v>46</v>
      </c>
      <c r="K356" s="28" t="s">
        <v>41</v>
      </c>
      <c r="L356" s="30" t="s">
        <v>39</v>
      </c>
      <c r="M356" s="13" t="s">
        <v>40</v>
      </c>
      <c r="N356" s="13" t="s">
        <v>45</v>
      </c>
      <c r="O356" s="13" t="s">
        <v>46</v>
      </c>
      <c r="P356" s="31" t="s">
        <v>41</v>
      </c>
      <c r="Q356" s="33" t="s">
        <v>39</v>
      </c>
      <c r="R356" s="12" t="s">
        <v>40</v>
      </c>
      <c r="S356" s="12" t="s">
        <v>45</v>
      </c>
      <c r="T356" s="12" t="s">
        <v>46</v>
      </c>
      <c r="U356" s="34" t="s">
        <v>41</v>
      </c>
      <c r="V356" s="36" t="s">
        <v>39</v>
      </c>
      <c r="W356" s="11" t="s">
        <v>40</v>
      </c>
      <c r="X356" s="11" t="s">
        <v>45</v>
      </c>
      <c r="Y356" s="11" t="s">
        <v>46</v>
      </c>
      <c r="Z356" s="37" t="s">
        <v>41</v>
      </c>
      <c r="AA356" s="39" t="s">
        <v>41</v>
      </c>
      <c r="AB356" s="40" t="s">
        <v>43</v>
      </c>
      <c r="AC356" s="161"/>
      <c r="AD356" s="43" t="s">
        <v>27</v>
      </c>
      <c r="AE356" s="1" t="s">
        <v>28</v>
      </c>
      <c r="AF356" s="1" t="s">
        <v>29</v>
      </c>
      <c r="AG356" s="1" t="s">
        <v>30</v>
      </c>
      <c r="AH356" s="139"/>
    </row>
    <row r="357" spans="1:34" x14ac:dyDescent="0.25">
      <c r="A357" s="24">
        <v>1</v>
      </c>
      <c r="B357" s="9">
        <v>6</v>
      </c>
      <c r="C357" s="9">
        <v>500</v>
      </c>
      <c r="D357" s="9">
        <v>5</v>
      </c>
      <c r="E357" s="48">
        <f>B357*C357/60+D357</f>
        <v>55</v>
      </c>
      <c r="F357" s="100">
        <v>106</v>
      </c>
      <c r="G357" s="49">
        <f>B$5*(1-AD357*C$5)</f>
        <v>0</v>
      </c>
      <c r="H357" s="50">
        <f>G357+E357</f>
        <v>55</v>
      </c>
      <c r="I357" s="15">
        <f>(H357/D$5)^E$5</f>
        <v>7.6511831764011648E-2</v>
      </c>
      <c r="J357" s="15">
        <f>(G357/D$5)^E$5</f>
        <v>0</v>
      </c>
      <c r="K357" s="29">
        <f>1-EXP(J357-I357)</f>
        <v>7.3658046035411151E-2</v>
      </c>
      <c r="L357" s="51">
        <f>B$6*(1-AE357*C$6)</f>
        <v>0</v>
      </c>
      <c r="M357" s="52">
        <f>L357+E357</f>
        <v>55</v>
      </c>
      <c r="N357" s="17">
        <f>(M357/D$6)^E$6</f>
        <v>5.633709759436846E-2</v>
      </c>
      <c r="O357" s="17">
        <f>(L357/D$6)^E$6</f>
        <v>0</v>
      </c>
      <c r="P357" s="32">
        <f>1-EXP(O357-N357)</f>
        <v>5.4779549360660096E-2</v>
      </c>
      <c r="Q357" s="53">
        <f>B$7*(1-AF357*C$7)</f>
        <v>0</v>
      </c>
      <c r="R357" s="54">
        <f>Q357+E357</f>
        <v>55</v>
      </c>
      <c r="S357" s="16">
        <f>(R357/D$7)^E$7</f>
        <v>9.8087748172662498E-2</v>
      </c>
      <c r="T357" s="16">
        <f>(Q357/D$7)^E$7</f>
        <v>0</v>
      </c>
      <c r="U357" s="35">
        <f>1-EXP(T357-S357)</f>
        <v>9.3430649540250821E-2</v>
      </c>
      <c r="V357" s="55">
        <f>B$8*(1-AG357*C$8)</f>
        <v>0</v>
      </c>
      <c r="W357" s="56">
        <f>V357+E357</f>
        <v>55</v>
      </c>
      <c r="X357" s="18">
        <f>(W357/D$8)^E$8</f>
        <v>4.9309927237744132E-3</v>
      </c>
      <c r="Y357" s="18">
        <f>(V357/D$8)^E$8</f>
        <v>0</v>
      </c>
      <c r="Z357" s="38">
        <f>1-EXP(Y357-X357)</f>
        <v>4.9188553371368737E-3</v>
      </c>
      <c r="AA357" s="41">
        <f>K357*P357*U357*Z357</f>
        <v>1.8543515323034395E-6</v>
      </c>
      <c r="AB357" s="42">
        <f>1-AA357</f>
        <v>0.99999814564846767</v>
      </c>
      <c r="AC357" s="47">
        <f>(AD357*F$5+AE357*F$6+AF357*F$7+AG357*F$8)+E357</f>
        <v>55</v>
      </c>
      <c r="AD357" s="43">
        <v>0</v>
      </c>
      <c r="AE357" s="1">
        <v>0</v>
      </c>
      <c r="AF357" s="1">
        <v>0</v>
      </c>
      <c r="AG357" s="1">
        <v>0</v>
      </c>
      <c r="AH357" s="74">
        <v>110</v>
      </c>
    </row>
    <row r="358" spans="1:34" x14ac:dyDescent="0.25">
      <c r="A358" s="76">
        <v>2</v>
      </c>
      <c r="B358" s="58">
        <v>9</v>
      </c>
      <c r="C358" s="9">
        <v>500</v>
      </c>
      <c r="D358" s="58">
        <v>2</v>
      </c>
      <c r="E358" s="48">
        <f t="shared" ref="E358:E360" si="37">B358*C358/60+D358</f>
        <v>77</v>
      </c>
      <c r="F358" s="100">
        <v>76</v>
      </c>
      <c r="G358" s="49">
        <f>H357*(1-AD358*C$5)</f>
        <v>55</v>
      </c>
      <c r="H358" s="50">
        <f>G358+E358</f>
        <v>132</v>
      </c>
      <c r="I358" s="15">
        <f>(H358/D$5)^E$5</f>
        <v>0.34793173894508389</v>
      </c>
      <c r="J358" s="15">
        <f>(G358/D$5)^E$5</f>
        <v>7.6511831764011648E-2</v>
      </c>
      <c r="K358" s="29">
        <f>1-EXP(J358-I358)</f>
        <v>0.23770366451454039</v>
      </c>
      <c r="L358" s="51">
        <f>M357*(1-AE358*C$6)</f>
        <v>55</v>
      </c>
      <c r="M358" s="52">
        <f>L358+E358</f>
        <v>132</v>
      </c>
      <c r="N358" s="17">
        <f>(M358/D$6)^E$6</f>
        <v>0.29214038913862722</v>
      </c>
      <c r="O358" s="17">
        <f>(L358/D$6)^E$6</f>
        <v>5.633709759436846E-2</v>
      </c>
      <c r="P358" s="32">
        <f>1-EXP(O358-N358)</f>
        <v>0.21006395424947955</v>
      </c>
      <c r="Q358" s="53">
        <f>R357*(1-AF358*C$7)</f>
        <v>38.5</v>
      </c>
      <c r="R358" s="54">
        <f>Q358+E358</f>
        <v>115.5</v>
      </c>
      <c r="S358" s="16">
        <f>(R358/D$7)^E$7</f>
        <v>0.59512425475112107</v>
      </c>
      <c r="T358" s="16">
        <f>(Q358/D$7)^E$7</f>
        <v>4.1229019029394576E-2</v>
      </c>
      <c r="U358" s="35">
        <f>1-EXP(T358-S358)</f>
        <v>0.42529317381842335</v>
      </c>
      <c r="V358" s="55">
        <f>W357*(1-AG358*C$8)</f>
        <v>55</v>
      </c>
      <c r="W358" s="56">
        <f>V358+E358</f>
        <v>132</v>
      </c>
      <c r="X358" s="18">
        <f>(W358/D$8)^E$8</f>
        <v>4.5171946303006208E-2</v>
      </c>
      <c r="Y358" s="18">
        <f>(V358/D$8)^E$8</f>
        <v>4.9309927237744132E-3</v>
      </c>
      <c r="Z358" s="38">
        <f>1-EXP(Y358-X358)</f>
        <v>3.9442038613110686E-2</v>
      </c>
      <c r="AA358" s="41">
        <f>K358*P358*U358*Z358</f>
        <v>8.3759712779614306E-4</v>
      </c>
      <c r="AB358" s="42">
        <f>1-AA358</f>
        <v>0.99916240287220381</v>
      </c>
      <c r="AC358" s="47">
        <f>AF358*F$7+E358+AC357</f>
        <v>140</v>
      </c>
      <c r="AD358" s="43">
        <v>0</v>
      </c>
      <c r="AE358" s="1">
        <v>0</v>
      </c>
      <c r="AF358" s="1">
        <v>1</v>
      </c>
      <c r="AG358" s="1">
        <v>0</v>
      </c>
      <c r="AH358" s="74">
        <v>40</v>
      </c>
    </row>
    <row r="359" spans="1:34" x14ac:dyDescent="0.25">
      <c r="A359" s="24">
        <v>4</v>
      </c>
      <c r="B359" s="9">
        <v>8</v>
      </c>
      <c r="C359" s="58">
        <v>500</v>
      </c>
      <c r="D359" s="58">
        <v>3</v>
      </c>
      <c r="E359" s="48">
        <f t="shared" si="37"/>
        <v>69.666666666666671</v>
      </c>
      <c r="F359" s="100">
        <v>140</v>
      </c>
      <c r="G359" s="68">
        <f>H358*(1-AD359*C$5)</f>
        <v>92.399999999999991</v>
      </c>
      <c r="H359" s="69">
        <f>G359+E359</f>
        <v>162.06666666666666</v>
      </c>
      <c r="I359" s="70">
        <f>(H359/D$5)^E$5</f>
        <v>0.49621655271682308</v>
      </c>
      <c r="J359" s="70">
        <f>(G359/D$5)^E$5</f>
        <v>0.18772134485664987</v>
      </c>
      <c r="K359" s="29">
        <f>1-EXP(J359-I359)</f>
        <v>0.26544852773589911</v>
      </c>
      <c r="L359" s="51">
        <f>M358*(1-AE359*C$6)</f>
        <v>92.399999999999991</v>
      </c>
      <c r="M359" s="52">
        <f>L359+E359</f>
        <v>162.06666666666666</v>
      </c>
      <c r="N359" s="17">
        <f>(M359/D$6)^E$6</f>
        <v>0.42967171801167126</v>
      </c>
      <c r="O359" s="17">
        <f>(L359/D$6)^E$6</f>
        <v>0.14940871089337018</v>
      </c>
      <c r="P359" s="32">
        <f>1-EXP(O359-N359)</f>
        <v>0.24441500891064738</v>
      </c>
      <c r="Q359" s="53">
        <f>R358*(1-AF359*C$7)</f>
        <v>80.849999999999994</v>
      </c>
      <c r="R359" s="54">
        <f>Q359+E359</f>
        <v>150.51666666666665</v>
      </c>
      <c r="S359" s="16">
        <f>(R359/D$7)^E$7</f>
        <v>1.1325672189990181</v>
      </c>
      <c r="T359" s="16">
        <f>(Q359/D$7)^E$7</f>
        <v>0.25014733930681299</v>
      </c>
      <c r="U359" s="35">
        <f>1-EXP(T359-S359)</f>
        <v>0.58621959959552006</v>
      </c>
      <c r="V359" s="55">
        <f>W358*(1-AG359*C$8)</f>
        <v>132</v>
      </c>
      <c r="W359" s="56">
        <f>V359+E359</f>
        <v>201.66666666666669</v>
      </c>
      <c r="X359" s="18">
        <f>(W359/D$8)^E$8</f>
        <v>0.13199001575183039</v>
      </c>
      <c r="Y359" s="18">
        <f>(V359/D$8)^E$8</f>
        <v>4.5171946303006208E-2</v>
      </c>
      <c r="Z359" s="38">
        <f>1-EXP(Y359-X359)</f>
        <v>8.3156117626247084E-2</v>
      </c>
      <c r="AA359" s="41">
        <f>K359*P359*U359*Z359</f>
        <v>3.1627344682495411E-3</v>
      </c>
      <c r="AB359" s="42">
        <f>1-AA359</f>
        <v>0.99683726553175045</v>
      </c>
      <c r="AC359" s="47">
        <f>(AF359*F$7)+E359+AC358</f>
        <v>217.66666666666669</v>
      </c>
      <c r="AD359" s="77">
        <v>1</v>
      </c>
      <c r="AE359" s="78">
        <v>1</v>
      </c>
      <c r="AF359" s="78">
        <v>1</v>
      </c>
      <c r="AG359" s="78">
        <v>0</v>
      </c>
      <c r="AH359" s="74">
        <v>85</v>
      </c>
    </row>
    <row r="360" spans="1:34" ht="15.75" thickBot="1" x14ac:dyDescent="0.3">
      <c r="A360" s="57">
        <v>3</v>
      </c>
      <c r="B360" s="58">
        <v>5</v>
      </c>
      <c r="C360" s="58">
        <v>500</v>
      </c>
      <c r="D360" s="9">
        <v>4</v>
      </c>
      <c r="E360" s="48">
        <f t="shared" si="37"/>
        <v>45.666666666666664</v>
      </c>
      <c r="F360" s="100">
        <v>95</v>
      </c>
      <c r="G360" s="68">
        <f>H359*(1-AD360*C$5)</f>
        <v>113.44666666666666</v>
      </c>
      <c r="H360" s="69">
        <f>G360+E360</f>
        <v>159.11333333333332</v>
      </c>
      <c r="I360" s="70">
        <f>(H360/D$5)^E$5</f>
        <v>0.48067719678878712</v>
      </c>
      <c r="J360" s="70">
        <f>(G360/D$5)^E$5</f>
        <v>0.26772618933403824</v>
      </c>
      <c r="K360" s="29">
        <f>1-EXP(J360-I360)</f>
        <v>0.19180426818747698</v>
      </c>
      <c r="L360" s="51">
        <f>M359*(1-AE360*C$6)</f>
        <v>113.44666666666666</v>
      </c>
      <c r="M360" s="52">
        <f>L360+E360</f>
        <v>159.11333333333332</v>
      </c>
      <c r="N360" s="17">
        <f>(M360/D$6)^E$6</f>
        <v>0.41506964346675868</v>
      </c>
      <c r="O360" s="17">
        <f>(L360/D$6)^E$6</f>
        <v>0.21974605320663379</v>
      </c>
      <c r="P360" s="32">
        <f>1-EXP(O360-N360)</f>
        <v>0.17743156014988948</v>
      </c>
      <c r="Q360" s="53">
        <f>R359*(1-AF360*C$7)</f>
        <v>105.36166666666665</v>
      </c>
      <c r="R360" s="54">
        <f>Q360+E360</f>
        <v>151.02833333333331</v>
      </c>
      <c r="S360" s="16">
        <f>(R360/D$7)^E$7</f>
        <v>1.1419455943460066</v>
      </c>
      <c r="T360" s="16">
        <f>(Q360/D$7)^E$7</f>
        <v>0.47604962183435073</v>
      </c>
      <c r="U360" s="35">
        <f>1-EXP(T360-S360)</f>
        <v>0.48618704087845876</v>
      </c>
      <c r="V360" s="55">
        <f>W359*(1-AG360*C$8)</f>
        <v>141.16666666666666</v>
      </c>
      <c r="W360" s="56">
        <f>V360+E360</f>
        <v>186.83333333333331</v>
      </c>
      <c r="X360" s="18">
        <f>(W360/D$8)^E$8</f>
        <v>0.10879183288616899</v>
      </c>
      <c r="Y360" s="18">
        <f>(V360/D$8)^E$8</f>
        <v>5.3535162088524581E-2</v>
      </c>
      <c r="Z360" s="38">
        <f>1-EXP(Y360-X360)</f>
        <v>5.3757755969894516E-2</v>
      </c>
      <c r="AA360" s="41">
        <f>K360*P360*U360*Z360</f>
        <v>8.8947480059529428E-4</v>
      </c>
      <c r="AB360" s="42">
        <f>1-AA360</f>
        <v>0.99911052519940469</v>
      </c>
      <c r="AC360" s="47">
        <f>(AF360*F$7)+E360+AC359</f>
        <v>271.33333333333337</v>
      </c>
      <c r="AD360" s="80">
        <v>1</v>
      </c>
      <c r="AE360" s="45">
        <v>1</v>
      </c>
      <c r="AF360" s="81">
        <v>1</v>
      </c>
      <c r="AG360" s="45">
        <v>1</v>
      </c>
      <c r="AH360" s="94">
        <v>67</v>
      </c>
    </row>
    <row r="361" spans="1:34" ht="18.75" x14ac:dyDescent="0.3">
      <c r="A361" s="132" t="s">
        <v>53</v>
      </c>
      <c r="B361" s="132"/>
      <c r="C361" s="132"/>
      <c r="D361" s="132"/>
      <c r="E361" s="132"/>
      <c r="F361" s="132"/>
      <c r="G361" s="132"/>
      <c r="H361" s="132"/>
      <c r="I361" s="132"/>
      <c r="J361" s="132"/>
      <c r="AG361" s="46"/>
    </row>
    <row r="362" spans="1:34" ht="15.75" x14ac:dyDescent="0.25">
      <c r="A362" s="19" t="s">
        <v>58</v>
      </c>
      <c r="B362" s="60" t="s">
        <v>49</v>
      </c>
      <c r="C362" s="61" t="s">
        <v>50</v>
      </c>
      <c r="D362" s="19" t="s">
        <v>48</v>
      </c>
      <c r="E362" s="60" t="s">
        <v>57</v>
      </c>
      <c r="F362" s="61" t="s">
        <v>50</v>
      </c>
      <c r="G362" s="19" t="s">
        <v>82</v>
      </c>
      <c r="H362" s="60" t="s">
        <v>61</v>
      </c>
      <c r="I362" s="61" t="s">
        <v>50</v>
      </c>
      <c r="J362" s="19" t="s">
        <v>54</v>
      </c>
      <c r="K362" s="83" t="s">
        <v>84</v>
      </c>
      <c r="L362" s="61" t="s">
        <v>50</v>
      </c>
      <c r="M362" s="61" t="s">
        <v>85</v>
      </c>
      <c r="O362" s="174" t="s">
        <v>64</v>
      </c>
      <c r="P362" s="174"/>
      <c r="Q362" s="175" t="s">
        <v>109</v>
      </c>
      <c r="R362" s="175"/>
    </row>
    <row r="363" spans="1:34" ht="24.75" x14ac:dyDescent="0.25">
      <c r="A363" s="61" t="s">
        <v>51</v>
      </c>
      <c r="B363" s="1">
        <f>AA357</f>
        <v>1.8543515323034395E-6</v>
      </c>
      <c r="C363" s="59">
        <f>MAX(AC357+1*L350-F357,0)</f>
        <v>0</v>
      </c>
      <c r="D363" s="62" t="s">
        <v>55</v>
      </c>
      <c r="E363" s="1">
        <f>AA357*AA358</f>
        <v>1.5531995173817377E-9</v>
      </c>
      <c r="F363" s="1">
        <f>MAX(AC358+2*L350-F358,0)</f>
        <v>88</v>
      </c>
      <c r="G363" s="62" t="s">
        <v>59</v>
      </c>
      <c r="H363" s="1">
        <f>AA357*AA358*AA359</f>
        <v>4.912357649691774E-12</v>
      </c>
      <c r="I363" s="1">
        <f>AC359+3*L350-F359</f>
        <v>113.66666666666669</v>
      </c>
      <c r="J363" s="62" t="s">
        <v>83</v>
      </c>
      <c r="K363" s="1">
        <f>AA357*AA358*AA359*AA360</f>
        <v>4.3694183409123589E-15</v>
      </c>
      <c r="L363" s="1">
        <f>AC360+4*L350-F360</f>
        <v>224.33333333333337</v>
      </c>
      <c r="M363" s="1">
        <f>B363*C363*AH357+E363*F363*AH358+H363*I363*AH359+K363*L363*AH360</f>
        <v>5.5147895371566255E-6</v>
      </c>
      <c r="O363" s="1" t="s">
        <v>27</v>
      </c>
      <c r="P363" s="1">
        <f>2*H348</f>
        <v>3640</v>
      </c>
      <c r="Q363" s="1">
        <f>(K357*(1-P357)*(1-U357)*(1-Z357))+(P357*(1-K357)*(1-U357)*(1-Z357))+(U357*(1-K357)*(1-P357)*(1-Z357))+(Z357*(1-K357)*(1-P357)*(1-U357))</f>
        <v>0.19389466846386108</v>
      </c>
      <c r="R363" s="1">
        <f>Q363*(L$7*(J$5*K$5+L$5)+I$5)</f>
        <v>6833.8175900087836</v>
      </c>
    </row>
    <row r="364" spans="1:34" ht="24.75" x14ac:dyDescent="0.25">
      <c r="A364" s="62" t="s">
        <v>52</v>
      </c>
      <c r="B364" s="1">
        <f>AB357</f>
        <v>0.99999814564846767</v>
      </c>
      <c r="C364" s="59">
        <f>MAX(AC357-F357,0)</f>
        <v>0</v>
      </c>
      <c r="D364" s="62" t="s">
        <v>56</v>
      </c>
      <c r="E364" s="1">
        <f>AA357*AB358+AA358*AB357</f>
        <v>8.3944837292941176E-4</v>
      </c>
      <c r="F364" s="1">
        <f>MAX(AC358+1*L350-F358,0)</f>
        <v>76</v>
      </c>
      <c r="G364" s="62" t="s">
        <v>60</v>
      </c>
      <c r="H364" s="1">
        <f>AA357*AA358*AB359+AA358*AA359*AB357+AA357*AA359*AB358</f>
        <v>2.6565005905395771E-6</v>
      </c>
      <c r="I364" s="1">
        <f>AC359+2*L350-F359</f>
        <v>101.66666666666669</v>
      </c>
      <c r="J364" s="62" t="s">
        <v>59</v>
      </c>
      <c r="K364">
        <f>AB357*AA358*AA359*AA360+AB358*AA357*AA359*AA360*+AB359*AA357*AA358*AA360+AB360*AA357*AA358*AA359</f>
        <v>2.3612089173476227E-9</v>
      </c>
      <c r="L364" s="1">
        <f>AC360+3*L350-F360</f>
        <v>212.33333333333337</v>
      </c>
      <c r="M364" s="1">
        <f>B364*C364*AH357+E364*F364*AH358+H364*I364*AH359+K364*L364*AH360</f>
        <v>2.5749132376537855</v>
      </c>
      <c r="O364" s="1" t="s">
        <v>28</v>
      </c>
      <c r="P364" s="1">
        <f>2*H349</f>
        <v>5440</v>
      </c>
      <c r="Q364" s="1">
        <f t="shared" ref="Q364:Q366" si="38">(K358*(1-P358)*(1-U358)*(1-Z358))+(P358*(1-K358)*(1-U358)*(1-Z358))+(U358*(1-K358)*(1-P358)*(1-Z358))+(Z358*(1-K358)*(1-P358)*(1-U358))</f>
        <v>0.45170085093206519</v>
      </c>
      <c r="R364" s="1">
        <f t="shared" ref="R364:R366" si="39">Q364*(L$7*(J$5*K$5+L$5)+I$5)</f>
        <v>15920.196491100638</v>
      </c>
    </row>
    <row r="365" spans="1:34" ht="24.75" x14ac:dyDescent="0.25">
      <c r="A365" s="1"/>
      <c r="B365" s="1"/>
      <c r="C365" s="1"/>
      <c r="D365" s="62" t="s">
        <v>52</v>
      </c>
      <c r="E365" s="1">
        <f>AB357*AB358</f>
        <v>0.99916055007387106</v>
      </c>
      <c r="F365" s="59">
        <f>MAX(AC358-F358,0)</f>
        <v>64</v>
      </c>
      <c r="G365" s="62" t="s">
        <v>56</v>
      </c>
      <c r="H365" s="1">
        <f>AA357*AB358*AB359+AA358*AB357*AB359*+AA359*AB357*AB358</f>
        <v>4.4854356948537808E-6</v>
      </c>
      <c r="I365" s="1">
        <f>AC359+1*L350-F359</f>
        <v>89.666666666666686</v>
      </c>
      <c r="J365" s="62" t="s">
        <v>60</v>
      </c>
      <c r="K365" s="1">
        <f>AA357*AA358*AB359*AB360 + AA357*AA359*AB358*AB360 + AA357*AA360*AB358*AB359 + AA358*AA359*AB357*AB360 + AA358*AA360*AB357*AB359 + AA359*AA360*AB357*AB358</f>
        <v>6.2092554540993862E-6</v>
      </c>
      <c r="L365" s="1">
        <f>AC360+2*L350-F360</f>
        <v>200.33333333333337</v>
      </c>
      <c r="M365" s="1">
        <f>B365*C365*AH357+E365*F365*AH358+H365*I365*AH359+K365*L365*AH360</f>
        <v>2557.9685373812877</v>
      </c>
      <c r="O365" s="1" t="s">
        <v>29</v>
      </c>
      <c r="P365" s="1">
        <f>3*(F350*(J348*K348+L348)+H350)</f>
        <v>42300</v>
      </c>
      <c r="Q365" s="1">
        <f t="shared" si="38"/>
        <v>0.46160366387050655</v>
      </c>
      <c r="R365" s="1">
        <f t="shared" si="39"/>
        <v>16269.221133116003</v>
      </c>
    </row>
    <row r="366" spans="1:34" ht="24.75" x14ac:dyDescent="0.25">
      <c r="A366" s="1"/>
      <c r="B366" s="1"/>
      <c r="C366" s="1"/>
      <c r="D366" s="1"/>
      <c r="E366" s="1"/>
      <c r="F366" s="1"/>
      <c r="G366" s="62" t="s">
        <v>52</v>
      </c>
      <c r="H366" s="1">
        <f>AB357*AB358*AB359</f>
        <v>0.99600047056283725</v>
      </c>
      <c r="I366" s="63">
        <f>AC359-F359</f>
        <v>77.666666666666686</v>
      </c>
      <c r="J366" s="62" t="s">
        <v>56</v>
      </c>
      <c r="K366" s="1">
        <f>AA357*AB358*AB359*AB360+AA358*AB357*AB359*AB360+AA359*AB357*AB358*AB360+AA360*AB357*AB358*AB359</f>
        <v>4.8792351338526416E-3</v>
      </c>
      <c r="L366" s="1">
        <f>AC360+1*L350-F360</f>
        <v>188.33333333333337</v>
      </c>
      <c r="M366" s="1">
        <f>B366*C366*AH357+E366*F366*AH358+H366*I366*AH359+K366*L366*AH360</f>
        <v>6636.8309218296617</v>
      </c>
      <c r="O366" s="1" t="s">
        <v>30</v>
      </c>
      <c r="P366" s="1">
        <f>1*H351</f>
        <v>4320</v>
      </c>
      <c r="Q366" s="1">
        <f t="shared" si="38"/>
        <v>0.47062970514950164</v>
      </c>
      <c r="R366" s="1">
        <f t="shared" si="39"/>
        <v>16587.343957994184</v>
      </c>
    </row>
    <row r="367" spans="1:34" ht="30" x14ac:dyDescent="0.25">
      <c r="I367" s="84"/>
      <c r="J367" s="62" t="s">
        <v>52</v>
      </c>
      <c r="K367" s="85">
        <f>AB357*AB358*AB359*AB360</f>
        <v>0.99511455324289055</v>
      </c>
      <c r="L367" s="1">
        <f>AC360+0*L350-F360</f>
        <v>176.33333333333337</v>
      </c>
      <c r="M367" s="1">
        <f>B367*C367*AH357+E367*F367*AH358+H367*I367*AH359+K367*L367*AH360</f>
        <v>11756.615036862593</v>
      </c>
      <c r="O367" s="64" t="s">
        <v>65</v>
      </c>
      <c r="P367" s="65">
        <f>SUM(P363:P366)</f>
        <v>55700</v>
      </c>
      <c r="Q367" s="96" t="s">
        <v>108</v>
      </c>
      <c r="R367" s="97">
        <f>SUM(R363:R366)</f>
        <v>55610.579172219608</v>
      </c>
    </row>
    <row r="368" spans="1:34" x14ac:dyDescent="0.25">
      <c r="L368" s="176" t="s">
        <v>63</v>
      </c>
      <c r="M368" s="177">
        <f>SUM(M363:M367)</f>
        <v>20953.989414825985</v>
      </c>
    </row>
    <row r="369" spans="1:22" x14ac:dyDescent="0.25">
      <c r="L369" s="176"/>
      <c r="M369" s="177"/>
    </row>
    <row r="370" spans="1:22" x14ac:dyDescent="0.25">
      <c r="A370" s="178" t="s">
        <v>90</v>
      </c>
      <c r="B370" s="178"/>
      <c r="C370" s="178"/>
      <c r="D370" s="178"/>
      <c r="E370" s="178"/>
      <c r="F370" s="178"/>
      <c r="G370" s="178"/>
      <c r="H370" s="178"/>
      <c r="I370" s="178"/>
      <c r="J370" s="178"/>
      <c r="K370" s="178"/>
      <c r="L370" s="178"/>
      <c r="M370" s="178"/>
      <c r="N370" s="178"/>
    </row>
    <row r="371" spans="1:22" ht="15.75" x14ac:dyDescent="0.25">
      <c r="A371" s="87" t="s">
        <v>77</v>
      </c>
      <c r="B371" s="62" t="s">
        <v>49</v>
      </c>
      <c r="C371" s="90" t="s">
        <v>78</v>
      </c>
      <c r="D371" s="62" t="s">
        <v>88</v>
      </c>
      <c r="E371" s="87" t="s">
        <v>75</v>
      </c>
      <c r="F371" s="62" t="s">
        <v>57</v>
      </c>
      <c r="G371" s="90" t="s">
        <v>87</v>
      </c>
      <c r="H371" s="62" t="s">
        <v>88</v>
      </c>
      <c r="I371" s="87" t="s">
        <v>86</v>
      </c>
      <c r="J371" s="62" t="s">
        <v>61</v>
      </c>
      <c r="K371" s="90" t="s">
        <v>103</v>
      </c>
      <c r="L371" s="62" t="s">
        <v>88</v>
      </c>
      <c r="M371" s="87" t="s">
        <v>76</v>
      </c>
      <c r="N371" s="62" t="s">
        <v>84</v>
      </c>
      <c r="O371" s="90" t="s">
        <v>102</v>
      </c>
      <c r="P371" s="62" t="s">
        <v>88</v>
      </c>
    </row>
    <row r="372" spans="1:22" ht="24.75" x14ac:dyDescent="0.25">
      <c r="A372" s="62" t="s">
        <v>51</v>
      </c>
      <c r="B372" s="86">
        <v>1.8543515323034395E-6</v>
      </c>
      <c r="C372" s="86">
        <f>AC357+1*L350</f>
        <v>67</v>
      </c>
      <c r="D372" s="86">
        <f>MAX(B372*1.5*((C372-F357)*500/2),0)</f>
        <v>0</v>
      </c>
      <c r="E372" s="62" t="s">
        <v>55</v>
      </c>
      <c r="F372" s="86">
        <v>1.5531995173817377E-9</v>
      </c>
      <c r="G372" s="86">
        <f>AC358+2*L350</f>
        <v>164</v>
      </c>
      <c r="H372" s="86">
        <f>F372*1.5*((G372-F358)*500/2+(G372-F359)*500+(G372-F360)*500)</f>
        <v>1.5959125041097356E-4</v>
      </c>
      <c r="I372" s="62" t="s">
        <v>59</v>
      </c>
      <c r="J372" s="86">
        <v>4.912357649691774E-12</v>
      </c>
      <c r="K372" s="86">
        <f>AC359+3*L350</f>
        <v>253.66666666666669</v>
      </c>
      <c r="L372" s="86">
        <f>J372*1.5*((K372-G372)*500/2+(K372-G372)*500)</f>
        <v>4.9553407791265779E-7</v>
      </c>
      <c r="M372" s="62" t="s">
        <v>83</v>
      </c>
      <c r="N372" s="86">
        <v>4.3694183409123589E-15</v>
      </c>
      <c r="O372" s="86">
        <f>AC360+4*L350</f>
        <v>319.33333333333337</v>
      </c>
      <c r="P372" s="86">
        <f>N372*1.5*((O372-K372)*500/2)</f>
        <v>1.0759692664496687E-10</v>
      </c>
    </row>
    <row r="373" spans="1:22" ht="24.75" x14ac:dyDescent="0.25">
      <c r="A373" s="62" t="s">
        <v>52</v>
      </c>
      <c r="B373" s="86">
        <v>0.99999814564846767</v>
      </c>
      <c r="C373" s="88">
        <f>AC357</f>
        <v>55</v>
      </c>
      <c r="D373" s="86">
        <f>MAX(B373*1.5*((C373-F357)*500/2),0)</f>
        <v>0</v>
      </c>
      <c r="E373" s="62" t="s">
        <v>56</v>
      </c>
      <c r="F373" s="86">
        <v>8.3944837292941176E-4</v>
      </c>
      <c r="G373" s="86">
        <f>AC358+1*L350</f>
        <v>152</v>
      </c>
      <c r="H373" s="86">
        <f>F373*1.5*((G373-F358)*500/2+(G373-F359)*500+(G373-F360)*500)</f>
        <v>67.365731927585287</v>
      </c>
      <c r="I373" s="62" t="s">
        <v>60</v>
      </c>
      <c r="J373" s="86">
        <v>2.6565005905395771E-6</v>
      </c>
      <c r="K373" s="86">
        <f>AC359+2*L350</f>
        <v>241.66666666666669</v>
      </c>
      <c r="L373" s="86">
        <f>J373*1.5*((K373-G373)*500/2+(K373-G373)*500)</f>
        <v>0.26797449707067988</v>
      </c>
      <c r="M373" s="62" t="s">
        <v>59</v>
      </c>
      <c r="N373" s="86">
        <v>2.3612089173476227E-9</v>
      </c>
      <c r="O373" s="86">
        <f>AC360+3*L350</f>
        <v>307.33333333333337</v>
      </c>
      <c r="P373" s="86">
        <f>N373*1.5*((O373-K373)*500/2)</f>
        <v>5.814476958968523E-5</v>
      </c>
    </row>
    <row r="374" spans="1:22" x14ac:dyDescent="0.25">
      <c r="A374" s="86"/>
      <c r="B374" s="86"/>
      <c r="C374" s="89" t="s">
        <v>89</v>
      </c>
      <c r="D374" s="89">
        <f>SUM(D372:D373)</f>
        <v>0</v>
      </c>
      <c r="E374" s="62" t="s">
        <v>52</v>
      </c>
      <c r="F374" s="86">
        <v>0.99916055007387106</v>
      </c>
      <c r="G374" s="86">
        <f>AC358+0*L350</f>
        <v>140</v>
      </c>
      <c r="H374" s="86">
        <f>F374*1.5*((G374-F358)*500/2+(G374-F360)*500)</f>
        <v>57701.521766766054</v>
      </c>
      <c r="I374" s="62" t="s">
        <v>56</v>
      </c>
      <c r="J374" s="86">
        <v>4.4854356948537808E-6</v>
      </c>
      <c r="K374" s="86">
        <f>AC359+1*L350</f>
        <v>229.66666666666669</v>
      </c>
      <c r="L374" s="86">
        <f>J374*1.5*((K374-F359)*500/2+(K374-G374)*500)</f>
        <v>0.45246832571837525</v>
      </c>
      <c r="M374" s="62" t="s">
        <v>60</v>
      </c>
      <c r="N374" s="86">
        <v>6.2092554540993862E-6</v>
      </c>
      <c r="O374" s="86">
        <f>AC360+2*L350</f>
        <v>295.33333333333337</v>
      </c>
      <c r="P374" s="86">
        <f>N374*1.5*((O374-K374)*500/2)</f>
        <v>0.15290291555719743</v>
      </c>
    </row>
    <row r="375" spans="1:22" x14ac:dyDescent="0.25">
      <c r="A375" s="86"/>
      <c r="B375" s="86"/>
      <c r="C375" s="86"/>
      <c r="D375" s="86"/>
      <c r="E375" s="86"/>
      <c r="F375" s="86"/>
      <c r="G375" s="89" t="s">
        <v>79</v>
      </c>
      <c r="H375" s="89">
        <f>SUM(H372:H374)</f>
        <v>57768.88765828489</v>
      </c>
      <c r="I375" s="62" t="s">
        <v>52</v>
      </c>
      <c r="J375" s="86">
        <v>0.99600047056283725</v>
      </c>
      <c r="K375" s="86">
        <f>AC359+0*L350</f>
        <v>217.66666666666669</v>
      </c>
      <c r="L375" s="86">
        <f>J375*1.5*((K375-F359)*500/2+(K375-G374)*500)</f>
        <v>87025.541115427928</v>
      </c>
      <c r="M375" s="62" t="s">
        <v>56</v>
      </c>
      <c r="N375" s="86">
        <v>4.8792351338526416E-3</v>
      </c>
      <c r="O375" s="86">
        <f>AC360+1*L350</f>
        <v>283.33333333333337</v>
      </c>
      <c r="P375" s="86">
        <f>N375*1.5*((O375-K375)*500/2)</f>
        <v>120.15116517112133</v>
      </c>
    </row>
    <row r="376" spans="1:22" x14ac:dyDescent="0.25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9" t="s">
        <v>79</v>
      </c>
      <c r="L376" s="89">
        <f>SUM(L372:L375)</f>
        <v>87026.26155874625</v>
      </c>
      <c r="M376" s="62" t="s">
        <v>52</v>
      </c>
      <c r="N376" s="86">
        <v>0.99511455324289055</v>
      </c>
      <c r="O376" s="86">
        <f>AC360+0*L350</f>
        <v>271.33333333333337</v>
      </c>
      <c r="P376" s="86">
        <f>N376*1.5*((O376-K375)*500/2)</f>
        <v>20026.68038401318</v>
      </c>
      <c r="Q376" s="179" t="s">
        <v>80</v>
      </c>
      <c r="R376" s="179"/>
      <c r="S376" s="180">
        <f>D374+H375+L376+P377</f>
        <v>164942.13372727588</v>
      </c>
      <c r="T376" s="180"/>
    </row>
    <row r="377" spans="1:22" x14ac:dyDescent="0.25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9" t="s">
        <v>79</v>
      </c>
      <c r="P377" s="89">
        <f>SUM(P372:P376)</f>
        <v>20146.984510244736</v>
      </c>
      <c r="Q377" s="179"/>
      <c r="R377" s="179"/>
      <c r="S377" s="180"/>
      <c r="T377" s="180"/>
    </row>
    <row r="378" spans="1:22" x14ac:dyDescent="0.25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</row>
    <row r="379" spans="1:22" x14ac:dyDescent="0.25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</row>
    <row r="380" spans="1:22" x14ac:dyDescent="0.25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</row>
    <row r="381" spans="1:22" ht="24.75" thickBot="1" x14ac:dyDescent="0.3">
      <c r="O381" s="131" t="s">
        <v>81</v>
      </c>
      <c r="P381" s="131"/>
      <c r="Q381" s="131">
        <f>(R367+P367+M368+S376)/AC360</f>
        <v>1095.3563967358284</v>
      </c>
      <c r="R381" s="131"/>
    </row>
    <row r="382" spans="1:22" x14ac:dyDescent="0.25">
      <c r="A382" s="181" t="s">
        <v>115</v>
      </c>
      <c r="B382" s="182"/>
    </row>
    <row r="383" spans="1:22" ht="15.75" thickBot="1" x14ac:dyDescent="0.3">
      <c r="A383" s="183"/>
      <c r="B383" s="184"/>
    </row>
    <row r="384" spans="1:22" ht="21" x14ac:dyDescent="0.35">
      <c r="A384" s="185" t="s">
        <v>14</v>
      </c>
      <c r="B384" s="185"/>
      <c r="C384" s="165"/>
      <c r="D384" s="165"/>
      <c r="E384" s="165"/>
      <c r="F384" s="165"/>
      <c r="G384" s="165"/>
      <c r="H384" s="165"/>
      <c r="I384" s="165"/>
      <c r="J384" s="165"/>
      <c r="K384" s="165"/>
      <c r="L384" s="165"/>
      <c r="M384" s="165"/>
      <c r="O384" s="166" t="s">
        <v>72</v>
      </c>
      <c r="P384" s="166"/>
      <c r="Q384" s="166"/>
      <c r="R384" s="166"/>
      <c r="S384" s="166"/>
      <c r="T384" s="166"/>
      <c r="U384" s="166"/>
      <c r="V384" s="166"/>
    </row>
    <row r="385" spans="1:34" ht="36" x14ac:dyDescent="0.25">
      <c r="A385" s="4" t="s">
        <v>15</v>
      </c>
      <c r="B385" s="4" t="s">
        <v>16</v>
      </c>
      <c r="C385" s="4" t="s">
        <v>31</v>
      </c>
      <c r="D385" s="6" t="s">
        <v>17</v>
      </c>
      <c r="E385" s="6" t="s">
        <v>18</v>
      </c>
      <c r="F385" s="6" t="s">
        <v>19</v>
      </c>
      <c r="G385" s="6" t="s">
        <v>20</v>
      </c>
      <c r="H385" s="6" t="s">
        <v>21</v>
      </c>
      <c r="I385" s="6" t="s">
        <v>22</v>
      </c>
      <c r="J385" s="6" t="s">
        <v>23</v>
      </c>
      <c r="K385" s="6" t="s">
        <v>24</v>
      </c>
      <c r="L385" s="6" t="s">
        <v>25</v>
      </c>
      <c r="M385" s="6" t="s">
        <v>26</v>
      </c>
      <c r="N385" s="8"/>
      <c r="O385" s="167" t="s">
        <v>32</v>
      </c>
      <c r="P385" s="167" t="s">
        <v>35</v>
      </c>
      <c r="Q385" s="167" t="s">
        <v>66</v>
      </c>
      <c r="R385" s="99" t="s">
        <v>67</v>
      </c>
      <c r="S385" s="99" t="s">
        <v>68</v>
      </c>
      <c r="T385" s="167" t="s">
        <v>69</v>
      </c>
      <c r="U385" s="71" t="s">
        <v>33</v>
      </c>
      <c r="V385" s="99" t="s">
        <v>70</v>
      </c>
    </row>
    <row r="386" spans="1:34" x14ac:dyDescent="0.25">
      <c r="A386" s="3" t="s">
        <v>27</v>
      </c>
      <c r="B386" s="3">
        <v>0</v>
      </c>
      <c r="C386" s="3">
        <v>0.3</v>
      </c>
      <c r="D386" s="3">
        <v>243</v>
      </c>
      <c r="E386" s="3">
        <v>1.73</v>
      </c>
      <c r="F386" s="3">
        <v>5</v>
      </c>
      <c r="G386" s="169">
        <v>12</v>
      </c>
      <c r="H386" s="3">
        <v>1820</v>
      </c>
      <c r="I386" s="169">
        <v>19645</v>
      </c>
      <c r="J386" s="3">
        <v>20</v>
      </c>
      <c r="K386" s="3">
        <v>40</v>
      </c>
      <c r="L386" s="3">
        <v>500</v>
      </c>
      <c r="M386" s="3">
        <v>1000</v>
      </c>
      <c r="O386" s="168"/>
      <c r="P386" s="168"/>
      <c r="Q386" s="168"/>
      <c r="R386" s="72" t="s">
        <v>71</v>
      </c>
      <c r="S386" s="72" t="s">
        <v>71</v>
      </c>
      <c r="T386" s="168"/>
      <c r="U386" s="73">
        <v>500</v>
      </c>
      <c r="V386" s="3">
        <v>1.5</v>
      </c>
    </row>
    <row r="387" spans="1:34" x14ac:dyDescent="0.25">
      <c r="A387" s="3" t="s">
        <v>28</v>
      </c>
      <c r="B387" s="3">
        <v>0</v>
      </c>
      <c r="C387" s="3">
        <v>0.3</v>
      </c>
      <c r="D387" s="3">
        <v>254</v>
      </c>
      <c r="E387" s="3">
        <v>1.88</v>
      </c>
      <c r="F387" s="3">
        <v>3</v>
      </c>
      <c r="G387" s="170"/>
      <c r="H387" s="3">
        <v>2720</v>
      </c>
      <c r="I387" s="170"/>
      <c r="J387" s="5"/>
      <c r="K387" s="5"/>
      <c r="L387" s="5"/>
      <c r="M387" s="5"/>
      <c r="O387" s="74">
        <v>1</v>
      </c>
      <c r="P387" s="74">
        <v>106</v>
      </c>
      <c r="Q387" s="74">
        <v>110</v>
      </c>
      <c r="R387" s="74">
        <v>6</v>
      </c>
      <c r="S387" s="74">
        <v>5</v>
      </c>
      <c r="T387" s="74">
        <f>R387*$U$5/60+S387</f>
        <v>55</v>
      </c>
      <c r="U387" s="75"/>
    </row>
    <row r="388" spans="1:34" x14ac:dyDescent="0.25">
      <c r="A388" s="3" t="s">
        <v>29</v>
      </c>
      <c r="B388" s="3">
        <v>0</v>
      </c>
      <c r="C388" s="3">
        <v>0.3</v>
      </c>
      <c r="D388" s="3">
        <v>143</v>
      </c>
      <c r="E388" s="3">
        <v>2.4300000000000002</v>
      </c>
      <c r="F388" s="3">
        <v>8</v>
      </c>
      <c r="G388" s="170"/>
      <c r="H388" s="3">
        <v>3700</v>
      </c>
      <c r="I388" s="170"/>
      <c r="J388" s="5"/>
      <c r="K388" s="140" t="s">
        <v>73</v>
      </c>
      <c r="L388" s="141">
        <v>12</v>
      </c>
      <c r="M388" s="140" t="s">
        <v>74</v>
      </c>
      <c r="N388" s="141">
        <v>19645</v>
      </c>
      <c r="O388" s="74">
        <v>2</v>
      </c>
      <c r="P388" s="74">
        <v>76</v>
      </c>
      <c r="Q388" s="74">
        <v>40</v>
      </c>
      <c r="R388" s="74">
        <v>9</v>
      </c>
      <c r="S388" s="74">
        <v>2</v>
      </c>
      <c r="T388" s="74">
        <f t="shared" ref="T388:T390" si="40">R388*$U$5/60+S388</f>
        <v>77</v>
      </c>
      <c r="U388" s="75"/>
    </row>
    <row r="389" spans="1:34" x14ac:dyDescent="0.25">
      <c r="A389" s="3" t="s">
        <v>30</v>
      </c>
      <c r="B389" s="3">
        <v>0</v>
      </c>
      <c r="C389" s="3">
        <v>0.3</v>
      </c>
      <c r="D389" s="3">
        <v>449</v>
      </c>
      <c r="E389" s="3">
        <v>2.5299999999999998</v>
      </c>
      <c r="F389" s="3">
        <v>4</v>
      </c>
      <c r="G389" s="171"/>
      <c r="H389" s="3">
        <v>4320</v>
      </c>
      <c r="I389" s="171"/>
      <c r="J389" s="5"/>
      <c r="K389" s="140"/>
      <c r="L389" s="141"/>
      <c r="M389" s="140"/>
      <c r="N389" s="141"/>
      <c r="O389" s="74">
        <v>3</v>
      </c>
      <c r="P389" s="74">
        <v>95</v>
      </c>
      <c r="Q389" s="74">
        <v>67</v>
      </c>
      <c r="R389" s="74">
        <v>5</v>
      </c>
      <c r="S389" s="74">
        <v>4</v>
      </c>
      <c r="T389" s="74">
        <f t="shared" si="40"/>
        <v>45.666666666666664</v>
      </c>
      <c r="U389" s="75"/>
    </row>
    <row r="390" spans="1:34" ht="15.75" thickBo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O390" s="74">
        <v>4</v>
      </c>
      <c r="P390" s="74">
        <v>140</v>
      </c>
      <c r="Q390" s="94">
        <v>85</v>
      </c>
      <c r="R390" s="94">
        <v>8</v>
      </c>
      <c r="S390" s="94">
        <v>3</v>
      </c>
      <c r="T390" s="74">
        <f t="shared" si="40"/>
        <v>69.666666666666671</v>
      </c>
    </row>
    <row r="391" spans="1:34" x14ac:dyDescent="0.25">
      <c r="A391" s="142" t="s">
        <v>36</v>
      </c>
      <c r="B391" s="144" t="s">
        <v>106</v>
      </c>
      <c r="C391" s="144"/>
      <c r="D391" s="144"/>
      <c r="E391" s="144"/>
      <c r="F391" s="20" t="s">
        <v>27</v>
      </c>
      <c r="G391" s="20" t="s">
        <v>28</v>
      </c>
      <c r="H391" s="20" t="s">
        <v>29</v>
      </c>
      <c r="I391" s="20" t="s">
        <v>30</v>
      </c>
    </row>
    <row r="392" spans="1:34" ht="15.75" thickBot="1" x14ac:dyDescent="0.3">
      <c r="A392" s="143"/>
      <c r="B392" s="145"/>
      <c r="C392" s="145"/>
      <c r="D392" s="145"/>
      <c r="E392" s="145"/>
      <c r="F392" s="20">
        <v>126</v>
      </c>
      <c r="G392" s="26">
        <v>91</v>
      </c>
      <c r="H392" s="26">
        <v>67</v>
      </c>
      <c r="I392" s="26">
        <v>201</v>
      </c>
    </row>
    <row r="393" spans="1:34" ht="15.75" thickBot="1" x14ac:dyDescent="0.3">
      <c r="A393" s="143"/>
      <c r="B393" s="145"/>
      <c r="C393" s="145"/>
      <c r="D393" s="145"/>
      <c r="E393" s="145"/>
      <c r="F393" s="7"/>
      <c r="G393" s="146" t="s">
        <v>27</v>
      </c>
      <c r="H393" s="147"/>
      <c r="I393" s="147"/>
      <c r="J393" s="147"/>
      <c r="K393" s="148"/>
      <c r="L393" s="149" t="s">
        <v>28</v>
      </c>
      <c r="M393" s="150"/>
      <c r="N393" s="150"/>
      <c r="O393" s="150"/>
      <c r="P393" s="151"/>
      <c r="Q393" s="152" t="s">
        <v>29</v>
      </c>
      <c r="R393" s="153"/>
      <c r="S393" s="153"/>
      <c r="T393" s="153"/>
      <c r="U393" s="154"/>
      <c r="V393" s="155" t="s">
        <v>30</v>
      </c>
      <c r="W393" s="156"/>
      <c r="X393" s="156"/>
      <c r="Y393" s="156"/>
      <c r="Z393" s="157"/>
      <c r="AA393" s="158" t="s">
        <v>42</v>
      </c>
      <c r="AB393" s="159"/>
      <c r="AC393" s="160" t="s">
        <v>44</v>
      </c>
      <c r="AD393" s="162" t="s">
        <v>47</v>
      </c>
      <c r="AE393" s="163"/>
      <c r="AF393" s="163"/>
      <c r="AG393" s="164"/>
      <c r="AH393" s="138" t="s">
        <v>62</v>
      </c>
    </row>
    <row r="394" spans="1:34" ht="36.75" x14ac:dyDescent="0.25">
      <c r="A394" s="21" t="s">
        <v>32</v>
      </c>
      <c r="B394" s="22" t="s">
        <v>37</v>
      </c>
      <c r="C394" s="23" t="s">
        <v>33</v>
      </c>
      <c r="D394" s="22" t="s">
        <v>38</v>
      </c>
      <c r="E394" s="22" t="s">
        <v>34</v>
      </c>
      <c r="F394" s="25" t="s">
        <v>35</v>
      </c>
      <c r="G394" s="27" t="s">
        <v>39</v>
      </c>
      <c r="H394" s="10" t="s">
        <v>40</v>
      </c>
      <c r="I394" s="10" t="s">
        <v>45</v>
      </c>
      <c r="J394" s="10" t="s">
        <v>46</v>
      </c>
      <c r="K394" s="28" t="s">
        <v>41</v>
      </c>
      <c r="L394" s="30" t="s">
        <v>39</v>
      </c>
      <c r="M394" s="13" t="s">
        <v>40</v>
      </c>
      <c r="N394" s="13" t="s">
        <v>45</v>
      </c>
      <c r="O394" s="13" t="s">
        <v>46</v>
      </c>
      <c r="P394" s="31" t="s">
        <v>41</v>
      </c>
      <c r="Q394" s="33" t="s">
        <v>39</v>
      </c>
      <c r="R394" s="12" t="s">
        <v>40</v>
      </c>
      <c r="S394" s="12" t="s">
        <v>45</v>
      </c>
      <c r="T394" s="12" t="s">
        <v>46</v>
      </c>
      <c r="U394" s="34" t="s">
        <v>41</v>
      </c>
      <c r="V394" s="36" t="s">
        <v>39</v>
      </c>
      <c r="W394" s="11" t="s">
        <v>40</v>
      </c>
      <c r="X394" s="11" t="s">
        <v>45</v>
      </c>
      <c r="Y394" s="11" t="s">
        <v>46</v>
      </c>
      <c r="Z394" s="37" t="s">
        <v>41</v>
      </c>
      <c r="AA394" s="39" t="s">
        <v>41</v>
      </c>
      <c r="AB394" s="40" t="s">
        <v>43</v>
      </c>
      <c r="AC394" s="161"/>
      <c r="AD394" s="43" t="s">
        <v>27</v>
      </c>
      <c r="AE394" s="1" t="s">
        <v>28</v>
      </c>
      <c r="AF394" s="1" t="s">
        <v>29</v>
      </c>
      <c r="AG394" s="1" t="s">
        <v>30</v>
      </c>
      <c r="AH394" s="139"/>
    </row>
    <row r="395" spans="1:34" x14ac:dyDescent="0.25">
      <c r="A395" s="24">
        <v>1</v>
      </c>
      <c r="B395" s="9">
        <v>6</v>
      </c>
      <c r="C395" s="9">
        <v>500</v>
      </c>
      <c r="D395" s="9">
        <v>5</v>
      </c>
      <c r="E395" s="48">
        <f>B395*C395/60+D395</f>
        <v>55</v>
      </c>
      <c r="F395" s="100">
        <v>106</v>
      </c>
      <c r="G395" s="49">
        <f>B$5*(1-AD395*C$5)</f>
        <v>0</v>
      </c>
      <c r="H395" s="50">
        <f>G395+E395</f>
        <v>55</v>
      </c>
      <c r="I395" s="15">
        <f>(H395/D$5)^E$5</f>
        <v>7.6511831764011648E-2</v>
      </c>
      <c r="J395" s="15">
        <f>(G395/D$5)^E$5</f>
        <v>0</v>
      </c>
      <c r="K395" s="29">
        <f>1-EXP(J395-I395)</f>
        <v>7.3658046035411151E-2</v>
      </c>
      <c r="L395" s="51">
        <f>B$6*(1-AE395*C$6)</f>
        <v>0</v>
      </c>
      <c r="M395" s="52">
        <f>L395+E395</f>
        <v>55</v>
      </c>
      <c r="N395" s="17">
        <f>(M395/D$6)^E$6</f>
        <v>5.633709759436846E-2</v>
      </c>
      <c r="O395" s="17">
        <f>(L395/D$6)^E$6</f>
        <v>0</v>
      </c>
      <c r="P395" s="32">
        <f>1-EXP(O395-N395)</f>
        <v>5.4779549360660096E-2</v>
      </c>
      <c r="Q395" s="53">
        <f>B$7*(1-AF395*C$7)</f>
        <v>0</v>
      </c>
      <c r="R395" s="54">
        <f>Q395+E395</f>
        <v>55</v>
      </c>
      <c r="S395" s="16">
        <f>(R395/D$7)^E$7</f>
        <v>9.8087748172662498E-2</v>
      </c>
      <c r="T395" s="16">
        <f>(Q395/D$7)^E$7</f>
        <v>0</v>
      </c>
      <c r="U395" s="35">
        <f>1-EXP(T395-S395)</f>
        <v>9.3430649540250821E-2</v>
      </c>
      <c r="V395" s="55">
        <f>B$8*(1-AG395*C$8)</f>
        <v>0</v>
      </c>
      <c r="W395" s="56">
        <f>V395+E395</f>
        <v>55</v>
      </c>
      <c r="X395" s="18">
        <f>(W395/D$8)^E$8</f>
        <v>4.9309927237744132E-3</v>
      </c>
      <c r="Y395" s="18">
        <f>(V395/D$8)^E$8</f>
        <v>0</v>
      </c>
      <c r="Z395" s="38">
        <f>1-EXP(Y395-X395)</f>
        <v>4.9188553371368737E-3</v>
      </c>
      <c r="AA395" s="41">
        <f>K395*P395*U395*Z395</f>
        <v>1.8543515323034395E-6</v>
      </c>
      <c r="AB395" s="42">
        <f>1-AA395</f>
        <v>0.99999814564846767</v>
      </c>
      <c r="AC395" s="47">
        <f>(AD395*F$5+AE395*F$6+AF395*F$7+AG395*F$8)+E395</f>
        <v>55</v>
      </c>
      <c r="AD395" s="43">
        <v>0</v>
      </c>
      <c r="AE395" s="1">
        <v>0</v>
      </c>
      <c r="AF395" s="1">
        <v>0</v>
      </c>
      <c r="AG395" s="1">
        <v>0</v>
      </c>
      <c r="AH395" s="74">
        <v>110</v>
      </c>
    </row>
    <row r="396" spans="1:34" x14ac:dyDescent="0.25">
      <c r="A396" s="76">
        <v>4</v>
      </c>
      <c r="B396" s="58">
        <v>8</v>
      </c>
      <c r="C396" s="9">
        <v>500</v>
      </c>
      <c r="D396" s="58">
        <v>3</v>
      </c>
      <c r="E396" s="48">
        <f t="shared" ref="E396:E398" si="41">B396*C396/60+D396</f>
        <v>69.666666666666671</v>
      </c>
      <c r="F396" s="100">
        <v>140</v>
      </c>
      <c r="G396" s="49">
        <f>H395*(1-AD396*C$5)</f>
        <v>55</v>
      </c>
      <c r="H396" s="50">
        <f>G396+E396</f>
        <v>124.66666666666667</v>
      </c>
      <c r="I396" s="15">
        <f>(H396/D$5)^E$5</f>
        <v>0.31517317577772647</v>
      </c>
      <c r="J396" s="15">
        <f>(G396/D$5)^E$5</f>
        <v>7.6511831764011648E-2</v>
      </c>
      <c r="K396" s="29">
        <f>1-EXP(J396-I396)</f>
        <v>0.21231840970513827</v>
      </c>
      <c r="L396" s="51">
        <f>M395*(1-AE396*C$6)</f>
        <v>55</v>
      </c>
      <c r="M396" s="52">
        <f>L396+E396</f>
        <v>124.66666666666667</v>
      </c>
      <c r="N396" s="17">
        <f>(M396/D$6)^E$6</f>
        <v>0.26237549202961352</v>
      </c>
      <c r="O396" s="17">
        <f>(L396/D$6)^E$6</f>
        <v>5.633709759436846E-2</v>
      </c>
      <c r="P396" s="32">
        <f>1-EXP(O396-N396)</f>
        <v>0.18619816977858561</v>
      </c>
      <c r="Q396" s="53">
        <f>R395*(1-AF396*C$7)</f>
        <v>38.5</v>
      </c>
      <c r="R396" s="54">
        <f>Q396+E396</f>
        <v>108.16666666666667</v>
      </c>
      <c r="S396" s="16">
        <f>(R396/D$7)^E$7</f>
        <v>0.50743509891020977</v>
      </c>
      <c r="T396" s="16">
        <f>(Q396/D$7)^E$7</f>
        <v>4.1229019029394576E-2</v>
      </c>
      <c r="U396" s="35">
        <f>1-EXP(T396-S396)</f>
        <v>0.37262201925510419</v>
      </c>
      <c r="V396" s="55">
        <f>W395*(1-AG396*C$8)</f>
        <v>55</v>
      </c>
      <c r="W396" s="56">
        <f>V396+E396</f>
        <v>124.66666666666667</v>
      </c>
      <c r="X396" s="18">
        <f>(W396/D$8)^E$8</f>
        <v>3.9089951931753103E-2</v>
      </c>
      <c r="Y396" s="18">
        <f>(V396/D$8)^E$8</f>
        <v>4.9309927237744132E-3</v>
      </c>
      <c r="Z396" s="38">
        <f>1-EXP(Y396-X396)</f>
        <v>3.3582128592293481E-2</v>
      </c>
      <c r="AA396" s="41">
        <f>K396*P396*U396*Z396</f>
        <v>4.9469759117321997E-4</v>
      </c>
      <c r="AB396" s="42">
        <f>1-AA396</f>
        <v>0.99950530240882673</v>
      </c>
      <c r="AC396" s="47">
        <f>AF396*F$7+E396+AC395</f>
        <v>132.66666666666669</v>
      </c>
      <c r="AD396" s="43">
        <v>0</v>
      </c>
      <c r="AE396" s="1">
        <v>0</v>
      </c>
      <c r="AF396" s="1">
        <v>1</v>
      </c>
      <c r="AG396" s="1">
        <v>0</v>
      </c>
      <c r="AH396" s="74">
        <v>85</v>
      </c>
    </row>
    <row r="397" spans="1:34" x14ac:dyDescent="0.25">
      <c r="A397" s="24">
        <v>2</v>
      </c>
      <c r="B397" s="9">
        <v>9</v>
      </c>
      <c r="C397" s="58">
        <v>500</v>
      </c>
      <c r="D397" s="58">
        <v>2</v>
      </c>
      <c r="E397" s="48">
        <f t="shared" si="41"/>
        <v>77</v>
      </c>
      <c r="F397" s="100">
        <v>76</v>
      </c>
      <c r="G397" s="68">
        <f>H396*(1-AD397*C$5)</f>
        <v>87.266666666666666</v>
      </c>
      <c r="H397" s="69">
        <f>G397+E397</f>
        <v>164.26666666666665</v>
      </c>
      <c r="I397" s="70">
        <f>(H397/D$5)^E$5</f>
        <v>0.50792745169025055</v>
      </c>
      <c r="J397" s="70">
        <f>(G397/D$5)^E$5</f>
        <v>0.17004695403506842</v>
      </c>
      <c r="K397" s="29">
        <f>1-EXP(J397-I397)</f>
        <v>0.28671947849979462</v>
      </c>
      <c r="L397" s="51">
        <f>M396*(1-AE397*C$6)</f>
        <v>87.266666666666666</v>
      </c>
      <c r="M397" s="52">
        <f>L397+E397</f>
        <v>164.26666666666665</v>
      </c>
      <c r="N397" s="17">
        <f>(M397/D$6)^E$6</f>
        <v>0.4407025549284625</v>
      </c>
      <c r="O397" s="17">
        <f>(L397/D$6)^E$6</f>
        <v>0.13418611561976262</v>
      </c>
      <c r="P397" s="32">
        <f>1-EXP(O397-N397)</f>
        <v>0.26399358135681483</v>
      </c>
      <c r="Q397" s="53">
        <f>R396*(1-AF397*C$7)</f>
        <v>75.716666666666669</v>
      </c>
      <c r="R397" s="54">
        <f>Q397+E397</f>
        <v>152.71666666666667</v>
      </c>
      <c r="S397" s="16">
        <f>(R397/D$7)^E$7</f>
        <v>1.1732146269774675</v>
      </c>
      <c r="T397" s="16">
        <f>(Q397/D$7)^E$7</f>
        <v>0.21328913894857404</v>
      </c>
      <c r="U397" s="35">
        <f>1-EXP(T397-S397)</f>
        <v>0.61707858285828776</v>
      </c>
      <c r="V397" s="55">
        <f>W396*(1-AG397*C$8)</f>
        <v>124.66666666666667</v>
      </c>
      <c r="W397" s="56">
        <f>V397+E397</f>
        <v>201.66666666666669</v>
      </c>
      <c r="X397" s="18">
        <f>(W397/D$8)^E$8</f>
        <v>0.13199001575183039</v>
      </c>
      <c r="Y397" s="18">
        <f>(V397/D$8)^E$8</f>
        <v>3.9089951931753103E-2</v>
      </c>
      <c r="Z397" s="38">
        <f>1-EXP(Y397-X397)</f>
        <v>8.8715433955963707E-2</v>
      </c>
      <c r="AA397" s="41">
        <f>K397*P397*U397*Z397</f>
        <v>4.1437182730708743E-3</v>
      </c>
      <c r="AB397" s="42">
        <f>1-AA397</f>
        <v>0.99585628172692908</v>
      </c>
      <c r="AC397" s="47">
        <f>(AF397*F$7)+E397+AC396</f>
        <v>217.66666666666669</v>
      </c>
      <c r="AD397" s="77">
        <v>1</v>
      </c>
      <c r="AE397" s="78">
        <v>1</v>
      </c>
      <c r="AF397" s="78">
        <v>1</v>
      </c>
      <c r="AG397" s="78">
        <v>0</v>
      </c>
      <c r="AH397" s="74">
        <v>40</v>
      </c>
    </row>
    <row r="398" spans="1:34" ht="15.75" thickBot="1" x14ac:dyDescent="0.3">
      <c r="A398" s="57">
        <v>3</v>
      </c>
      <c r="B398" s="58">
        <v>5</v>
      </c>
      <c r="C398" s="58">
        <v>500</v>
      </c>
      <c r="D398" s="9">
        <v>4</v>
      </c>
      <c r="E398" s="48">
        <f t="shared" si="41"/>
        <v>45.666666666666664</v>
      </c>
      <c r="F398" s="100">
        <v>95</v>
      </c>
      <c r="G398" s="68">
        <f>H397*(1-AD398*C$5)</f>
        <v>114.98666666666665</v>
      </c>
      <c r="H398" s="69">
        <f>G398+E398</f>
        <v>160.65333333333331</v>
      </c>
      <c r="I398" s="70">
        <f>(H398/D$5)^E$5</f>
        <v>0.48875408312881768</v>
      </c>
      <c r="J398" s="70">
        <f>(G398/D$5)^E$5</f>
        <v>0.27404462901257293</v>
      </c>
      <c r="K398" s="29">
        <f>1-EXP(J398-I398)</f>
        <v>0.19322418848098599</v>
      </c>
      <c r="L398" s="51">
        <f>M397*(1-AE398*C$6)</f>
        <v>114.98666666666665</v>
      </c>
      <c r="M398" s="52">
        <f>L398+E398</f>
        <v>160.65333333333331</v>
      </c>
      <c r="N398" s="17">
        <f>(M398/D$6)^E$6</f>
        <v>0.42265433313983669</v>
      </c>
      <c r="O398" s="17">
        <f>(L398/D$6)^E$6</f>
        <v>0.22538752965113423</v>
      </c>
      <c r="P398" s="32">
        <f>1-EXP(O398-N398)</f>
        <v>0.17902843398794011</v>
      </c>
      <c r="Q398" s="53">
        <f>R397*(1-AF398*C$7)</f>
        <v>106.90166666666666</v>
      </c>
      <c r="R398" s="54">
        <f>Q398+E398</f>
        <v>152.56833333333333</v>
      </c>
      <c r="S398" s="16">
        <f>(R398/D$7)^E$7</f>
        <v>1.1704474662082998</v>
      </c>
      <c r="T398" s="16">
        <f>(Q398/D$7)^E$7</f>
        <v>0.4931348622263419</v>
      </c>
      <c r="U398" s="35">
        <f>1-EXP(T398-S398)</f>
        <v>0.49201969608794127</v>
      </c>
      <c r="V398" s="55">
        <f>W397*(1-AG398*C$8)</f>
        <v>141.16666666666666</v>
      </c>
      <c r="W398" s="56">
        <f>V398+E398</f>
        <v>186.83333333333331</v>
      </c>
      <c r="X398" s="18">
        <f>(W398/D$8)^E$8</f>
        <v>0.10879183288616899</v>
      </c>
      <c r="Y398" s="18">
        <f>(V398/D$8)^E$8</f>
        <v>5.3535162088524581E-2</v>
      </c>
      <c r="Z398" s="38">
        <f>1-EXP(Y398-X398)</f>
        <v>5.3757755969894516E-2</v>
      </c>
      <c r="AA398" s="41">
        <f>K398*P398*U398*Z398</f>
        <v>9.1497056885908969E-4</v>
      </c>
      <c r="AB398" s="42">
        <f>1-AA398</f>
        <v>0.99908502943114086</v>
      </c>
      <c r="AC398" s="47">
        <f>(AF398*F$7)+E398+AC397</f>
        <v>271.33333333333337</v>
      </c>
      <c r="AD398" s="80">
        <v>1</v>
      </c>
      <c r="AE398" s="45">
        <v>1</v>
      </c>
      <c r="AF398" s="81">
        <v>1</v>
      </c>
      <c r="AG398" s="45">
        <v>1</v>
      </c>
      <c r="AH398" s="94">
        <v>67</v>
      </c>
    </row>
    <row r="399" spans="1:34" ht="18.75" x14ac:dyDescent="0.3">
      <c r="A399" s="132" t="s">
        <v>53</v>
      </c>
      <c r="B399" s="132"/>
      <c r="C399" s="132"/>
      <c r="D399" s="132"/>
      <c r="E399" s="132"/>
      <c r="F399" s="132"/>
      <c r="G399" s="132"/>
      <c r="H399" s="132"/>
      <c r="I399" s="132"/>
      <c r="J399" s="132"/>
      <c r="AG399" s="46"/>
    </row>
    <row r="400" spans="1:34" ht="15.75" x14ac:dyDescent="0.25">
      <c r="A400" s="19" t="s">
        <v>58</v>
      </c>
      <c r="B400" s="60" t="s">
        <v>49</v>
      </c>
      <c r="C400" s="61" t="s">
        <v>50</v>
      </c>
      <c r="D400" s="19" t="s">
        <v>82</v>
      </c>
      <c r="E400" s="60" t="s">
        <v>57</v>
      </c>
      <c r="F400" s="61" t="s">
        <v>50</v>
      </c>
      <c r="G400" s="19" t="s">
        <v>48</v>
      </c>
      <c r="H400" s="60" t="s">
        <v>61</v>
      </c>
      <c r="I400" s="61" t="s">
        <v>50</v>
      </c>
      <c r="J400" s="19" t="s">
        <v>54</v>
      </c>
      <c r="K400" s="83" t="s">
        <v>84</v>
      </c>
      <c r="L400" s="61" t="s">
        <v>50</v>
      </c>
      <c r="M400" s="61" t="s">
        <v>85</v>
      </c>
      <c r="O400" s="174" t="s">
        <v>64</v>
      </c>
      <c r="P400" s="174"/>
      <c r="Q400" s="175" t="s">
        <v>109</v>
      </c>
      <c r="R400" s="175"/>
    </row>
    <row r="401" spans="1:20" ht="24.75" x14ac:dyDescent="0.25">
      <c r="A401" s="61" t="s">
        <v>51</v>
      </c>
      <c r="B401" s="1">
        <f>AA395</f>
        <v>1.8543515323034395E-6</v>
      </c>
      <c r="C401" s="59">
        <f>MAX(AC395+1*L388-F395,0)</f>
        <v>0</v>
      </c>
      <c r="D401" s="62" t="s">
        <v>55</v>
      </c>
      <c r="E401" s="1">
        <f>AA395*AA396</f>
        <v>9.1734323621888092E-10</v>
      </c>
      <c r="F401" s="1">
        <f>MAX(AC396+2*L388-F396,0)</f>
        <v>16.666666666666686</v>
      </c>
      <c r="G401" s="62" t="s">
        <v>59</v>
      </c>
      <c r="H401" s="1">
        <f>AA395*AA396*AA397</f>
        <v>3.8012119305981484E-12</v>
      </c>
      <c r="I401" s="1">
        <f>AC397+3*L388-F397</f>
        <v>177.66666666666669</v>
      </c>
      <c r="J401" s="62" t="s">
        <v>83</v>
      </c>
      <c r="K401" s="1">
        <f>AA395*AA396*AA397*AA398</f>
        <v>3.4779970424933462E-15</v>
      </c>
      <c r="L401" s="1">
        <f>AC398+4*L388-F398</f>
        <v>224.33333333333337</v>
      </c>
      <c r="M401" s="1">
        <f>B401*C401*AH395+E401*F401*AH396+H401*I401*AH397+K401*L401*AH398</f>
        <v>1.3266358062184147E-6</v>
      </c>
      <c r="O401" s="1" t="s">
        <v>27</v>
      </c>
      <c r="P401" s="1">
        <f>2*H386</f>
        <v>3640</v>
      </c>
      <c r="Q401" s="1">
        <f>(K395*(1-P395)*(1-U395)*(1-Z395))+(P395*(1-K395)*(1-U395)*(1-Z395))+(U395*(1-K395)*(1-P395)*(1-Z395))+(Z395*(1-K395)*(1-P395)*(1-U395))</f>
        <v>0.19389466846386108</v>
      </c>
      <c r="R401" s="1">
        <f>Q401*(L$7*(J$5*K$5+L$5)+I$5)</f>
        <v>6833.8175900087836</v>
      </c>
    </row>
    <row r="402" spans="1:20" ht="24.75" x14ac:dyDescent="0.25">
      <c r="A402" s="62" t="s">
        <v>52</v>
      </c>
      <c r="B402" s="1">
        <f>AB395</f>
        <v>0.99999814564846767</v>
      </c>
      <c r="C402" s="59">
        <f>MAX(AC395-F395,0)</f>
        <v>0</v>
      </c>
      <c r="D402" s="62" t="s">
        <v>56</v>
      </c>
      <c r="E402" s="1">
        <f>AA395*AB396+AA396*AB395</f>
        <v>4.9655010801905096E-4</v>
      </c>
      <c r="F402" s="1">
        <f>MAX(AC396+1*L388-F396,0)</f>
        <v>4.6666666666666856</v>
      </c>
      <c r="G402" s="62" t="s">
        <v>60</v>
      </c>
      <c r="H402" s="1">
        <f>AA395*AA396*AB397+AA396*AA397*AB395+AA395*AA397*AB396</f>
        <v>2.0584772981181462E-6</v>
      </c>
      <c r="I402" s="1">
        <f>AC397+2*L388-F397</f>
        <v>165.66666666666669</v>
      </c>
      <c r="J402" s="62" t="s">
        <v>59</v>
      </c>
      <c r="K402">
        <f>AB395*AA396*AA397*AA398+AB396*AA395*AA397*AA398*+AB397*AA395*AA396*AA398+AB398*AA395*AA396*AA397</f>
        <v>1.8793809405027652E-9</v>
      </c>
      <c r="L402" s="1">
        <f>AC398+3*L388-F398</f>
        <v>212.33333333333337</v>
      </c>
      <c r="M402" s="1">
        <f>B402*C402*AH395+E402*F402*AH396+H402*I402*AH397+K402*L402*AH398</f>
        <v>0.21063245577614048</v>
      </c>
      <c r="O402" s="1" t="s">
        <v>28</v>
      </c>
      <c r="P402" s="1">
        <f>2*H387</f>
        <v>5440</v>
      </c>
      <c r="Q402" s="1">
        <f t="shared" ref="Q402:Q404" si="42">(K396*(1-P396)*(1-U396)*(1-Z396))+(P396*(1-K396)*(1-U396)*(1-Z396))+(U396*(1-K396)*(1-P396)*(1-Z396))+(Z396*(1-K396)*(1-P396)*(1-U396))</f>
        <v>0.43802649314827469</v>
      </c>
      <c r="R402" s="1">
        <f t="shared" ref="R402:R404" si="43">Q402*(L$7*(J$5*K$5+L$5)+I$5)</f>
        <v>15438.243751010941</v>
      </c>
    </row>
    <row r="403" spans="1:20" ht="24.75" x14ac:dyDescent="0.25">
      <c r="A403" s="1"/>
      <c r="B403" s="1"/>
      <c r="C403" s="1"/>
      <c r="D403" s="62" t="s">
        <v>52</v>
      </c>
      <c r="E403" s="1">
        <f>AB395*AB396</f>
        <v>0.99950344897463761</v>
      </c>
      <c r="F403" s="59">
        <f>MAX(AC396-F396,0)</f>
        <v>0</v>
      </c>
      <c r="G403" s="62" t="s">
        <v>56</v>
      </c>
      <c r="H403" s="1">
        <f>AA395*AB396*AB397+AA396*AB395*AB397*+AA397*AB395*AB396</f>
        <v>3.8861299325483959E-6</v>
      </c>
      <c r="I403" s="1">
        <f>AC397+1*L388-F397</f>
        <v>153.66666666666669</v>
      </c>
      <c r="J403" s="62" t="s">
        <v>60</v>
      </c>
      <c r="K403" s="1">
        <f>AA395*AA396*AB397*AB398 + AA395*AA397*AB396*AB398 + AA395*AA398*AB396*AB397 + AA396*AA397*AB395*AB398 + AA396*AA398*AB395*AB397 + AA397*AA398*AB395*AB396</f>
        <v>6.2985376282396481E-6</v>
      </c>
      <c r="L403" s="1">
        <f>AC398+2*L388-F398</f>
        <v>200.33333333333337</v>
      </c>
      <c r="M403" s="1">
        <f>B403*C403*AH395+E403*F403*AH396+H403*I403*AH397+K403*L403*AH398</f>
        <v>0.10842781687750612</v>
      </c>
      <c r="O403" s="1" t="s">
        <v>29</v>
      </c>
      <c r="P403" s="1">
        <f>3*(F388*(J386*K386+L386)+H388)</f>
        <v>42300</v>
      </c>
      <c r="Q403" s="1">
        <f t="shared" si="42"/>
        <v>0.45239370255171973</v>
      </c>
      <c r="R403" s="1">
        <f t="shared" si="43"/>
        <v>15944.616046435362</v>
      </c>
    </row>
    <row r="404" spans="1:20" ht="24.75" x14ac:dyDescent="0.25">
      <c r="A404" s="1"/>
      <c r="B404" s="1"/>
      <c r="C404" s="1"/>
      <c r="D404" s="1"/>
      <c r="E404" s="1"/>
      <c r="F404" s="1"/>
      <c r="G404" s="62" t="s">
        <v>52</v>
      </c>
      <c r="H404" s="1">
        <f>AB395*AB396*AB397</f>
        <v>0.99536178826912403</v>
      </c>
      <c r="I404" s="63">
        <f>AC397-F397</f>
        <v>141.66666666666669</v>
      </c>
      <c r="J404" s="62" t="s">
        <v>56</v>
      </c>
      <c r="K404" s="1">
        <f>AA395*AB396*AB397*AB398+AA396*AB395*AB397*AB398+AA397*AB395*AB396*AB398+AA398*AB395*AB396*AB397</f>
        <v>5.5426380476334604E-3</v>
      </c>
      <c r="L404" s="1">
        <f>AC398+1*L388-F398</f>
        <v>188.33333333333337</v>
      </c>
      <c r="M404" s="1">
        <f>B404*C404*AH395+E404*F404*AH396+H404*I404*AH397+K404*L404*AH398</f>
        <v>5710.3223212894254</v>
      </c>
      <c r="O404" s="1" t="s">
        <v>30</v>
      </c>
      <c r="P404" s="1">
        <f>1*H389</f>
        <v>4320</v>
      </c>
      <c r="Q404" s="1">
        <f t="shared" si="42"/>
        <v>0.47212874744674671</v>
      </c>
      <c r="R404" s="1">
        <f t="shared" si="43"/>
        <v>16640.177703760586</v>
      </c>
    </row>
    <row r="405" spans="1:20" ht="30" x14ac:dyDescent="0.25">
      <c r="I405" s="84"/>
      <c r="J405" s="62" t="s">
        <v>52</v>
      </c>
      <c r="K405" s="85">
        <f>AB395*AB396*AB397*AB398</f>
        <v>0.99445106152749074</v>
      </c>
      <c r="L405" s="1">
        <f>AC398+0*L388-F398</f>
        <v>176.33333333333337</v>
      </c>
      <c r="M405" s="1">
        <f>B405*C405*AH395+E405*F405*AH396+H405*I405*AH397+K405*L405*AH398</f>
        <v>11748.776324572955</v>
      </c>
      <c r="O405" s="64" t="s">
        <v>65</v>
      </c>
      <c r="P405" s="65">
        <f>SUM(P401:P404)</f>
        <v>55700</v>
      </c>
      <c r="Q405" s="96" t="s">
        <v>108</v>
      </c>
      <c r="R405" s="97">
        <f>SUM(R401:R404)</f>
        <v>54856.855091215672</v>
      </c>
    </row>
    <row r="406" spans="1:20" x14ac:dyDescent="0.25">
      <c r="L406" s="176" t="s">
        <v>63</v>
      </c>
      <c r="M406" s="177">
        <f>SUM(M401:M405)</f>
        <v>17459.417707461671</v>
      </c>
    </row>
    <row r="407" spans="1:20" x14ac:dyDescent="0.25">
      <c r="L407" s="176"/>
      <c r="M407" s="177"/>
    </row>
    <row r="408" spans="1:20" x14ac:dyDescent="0.25">
      <c r="A408" s="178" t="s">
        <v>90</v>
      </c>
      <c r="B408" s="178"/>
      <c r="C408" s="178"/>
      <c r="D408" s="178"/>
      <c r="E408" s="178"/>
      <c r="F408" s="178"/>
      <c r="G408" s="178"/>
      <c r="H408" s="178"/>
      <c r="I408" s="178"/>
      <c r="J408" s="178"/>
      <c r="K408" s="178"/>
      <c r="L408" s="178"/>
      <c r="M408" s="178"/>
      <c r="N408" s="178"/>
    </row>
    <row r="409" spans="1:20" ht="15.75" x14ac:dyDescent="0.25">
      <c r="A409" s="87" t="s">
        <v>77</v>
      </c>
      <c r="B409" s="62" t="s">
        <v>49</v>
      </c>
      <c r="C409" s="90" t="s">
        <v>78</v>
      </c>
      <c r="D409" s="62" t="s">
        <v>88</v>
      </c>
      <c r="E409" s="87" t="s">
        <v>86</v>
      </c>
      <c r="F409" s="62" t="s">
        <v>57</v>
      </c>
      <c r="G409" s="90" t="s">
        <v>103</v>
      </c>
      <c r="H409" s="62" t="s">
        <v>88</v>
      </c>
      <c r="I409" s="87" t="s">
        <v>75</v>
      </c>
      <c r="J409" s="62" t="s">
        <v>61</v>
      </c>
      <c r="K409" s="90" t="s">
        <v>87</v>
      </c>
      <c r="L409" s="62" t="s">
        <v>88</v>
      </c>
      <c r="M409" s="87" t="s">
        <v>76</v>
      </c>
      <c r="N409" s="62" t="s">
        <v>84</v>
      </c>
      <c r="O409" s="90" t="s">
        <v>102</v>
      </c>
      <c r="P409" s="62" t="s">
        <v>88</v>
      </c>
    </row>
    <row r="410" spans="1:20" ht="24.75" x14ac:dyDescent="0.25">
      <c r="A410" s="62" t="s">
        <v>51</v>
      </c>
      <c r="B410" s="86">
        <v>1.8543515323034395E-6</v>
      </c>
      <c r="C410" s="86">
        <f>AC395+1*L388</f>
        <v>67</v>
      </c>
      <c r="D410" s="86">
        <f>MAX(B410*1.5*((C410-F395)*500/2),0)</f>
        <v>0</v>
      </c>
      <c r="E410" s="62" t="s">
        <v>55</v>
      </c>
      <c r="F410" s="86">
        <v>9.1734323621888092E-10</v>
      </c>
      <c r="G410" s="86">
        <f>AC396+2*L388</f>
        <v>156.66666666666669</v>
      </c>
      <c r="H410" s="86">
        <f>F410*1.5*((G410-F396)*500/2+(G410-F397)*500+(G410-F398)*500)</f>
        <v>1.0365978569273358E-4</v>
      </c>
      <c r="I410" s="62" t="s">
        <v>59</v>
      </c>
      <c r="J410" s="86">
        <v>3.8012119305981484E-12</v>
      </c>
      <c r="K410" s="86">
        <f>AC397+3*L388</f>
        <v>253.66666666666669</v>
      </c>
      <c r="L410" s="86">
        <f>J410*1.5*((K410-G410)*500/2+(K410-G410)*500)</f>
        <v>4.1480725192652294E-7</v>
      </c>
      <c r="M410" s="62" t="s">
        <v>83</v>
      </c>
      <c r="N410" s="86">
        <v>3.4779970424933462E-15</v>
      </c>
      <c r="O410" s="86">
        <f>AC398+4*L388</f>
        <v>319.33333333333337</v>
      </c>
      <c r="P410" s="86">
        <f>N410*1.5*((O410-K410)*500/2)</f>
        <v>8.5645677171398688E-11</v>
      </c>
    </row>
    <row r="411" spans="1:20" ht="24.75" x14ac:dyDescent="0.25">
      <c r="A411" s="62" t="s">
        <v>52</v>
      </c>
      <c r="B411" s="86">
        <v>0.99999814564846767</v>
      </c>
      <c r="C411" s="88">
        <f>AC395</f>
        <v>55</v>
      </c>
      <c r="D411" s="86">
        <f>MAX(B411*1.5*((C411-F395)*500/2),0)</f>
        <v>0</v>
      </c>
      <c r="E411" s="62" t="s">
        <v>56</v>
      </c>
      <c r="F411" s="86">
        <v>4.9655010801905096E-4</v>
      </c>
      <c r="G411" s="86">
        <f>AC396+1*L388</f>
        <v>144.66666666666669</v>
      </c>
      <c r="H411" s="86">
        <f>F411*1.5*((G411-F396)*500/2+(G411-F397)*500+(G411-F398)*500)</f>
        <v>44.937784775724133</v>
      </c>
      <c r="I411" s="62" t="s">
        <v>60</v>
      </c>
      <c r="J411" s="86">
        <v>2.0584772981181462E-6</v>
      </c>
      <c r="K411" s="86">
        <f>AC397+2*L388</f>
        <v>241.66666666666669</v>
      </c>
      <c r="L411" s="86">
        <f>J411*1.5*((K411-G411)*500/2+(K411-G411)*500)</f>
        <v>0.2246313351571427</v>
      </c>
      <c r="M411" s="62" t="s">
        <v>59</v>
      </c>
      <c r="N411" s="86">
        <v>1.8793809405027652E-9</v>
      </c>
      <c r="O411" s="86">
        <f>AC398+3*L388</f>
        <v>307.33333333333337</v>
      </c>
      <c r="P411" s="86">
        <f>N411*1.5*((O411-K411)*500/2)</f>
        <v>4.6279755659880605E-5</v>
      </c>
    </row>
    <row r="412" spans="1:20" x14ac:dyDescent="0.25">
      <c r="A412" s="86"/>
      <c r="B412" s="86"/>
      <c r="C412" s="89" t="s">
        <v>89</v>
      </c>
      <c r="D412" s="89">
        <f>SUM(D410:D411)</f>
        <v>0</v>
      </c>
      <c r="E412" s="62" t="s">
        <v>52</v>
      </c>
      <c r="F412" s="86">
        <v>0.99950344897463761</v>
      </c>
      <c r="G412" s="86">
        <f>AC396+0*L388</f>
        <v>132.66666666666669</v>
      </c>
      <c r="H412" s="86">
        <f>F412*1.5*((G412-F397)*500+(G412-F398)*500)</f>
        <v>70714.869014955635</v>
      </c>
      <c r="I412" s="62" t="s">
        <v>56</v>
      </c>
      <c r="J412" s="86">
        <v>3.8861299325483959E-6</v>
      </c>
      <c r="K412" s="86">
        <f>AC397+1*L388</f>
        <v>229.66666666666669</v>
      </c>
      <c r="L412" s="86">
        <f>J412*1.5*((K412-G412)*500/2+(K412-G412)*500)</f>
        <v>0.4240739288893437</v>
      </c>
      <c r="M412" s="62" t="s">
        <v>60</v>
      </c>
      <c r="N412" s="86">
        <v>6.2985376282396481E-6</v>
      </c>
      <c r="O412" s="86">
        <f>AC398+2*L388</f>
        <v>295.33333333333337</v>
      </c>
      <c r="P412" s="86">
        <f>N412*1.5*((O412-K412)*500/2)</f>
        <v>0.15510148909540136</v>
      </c>
    </row>
    <row r="413" spans="1:20" x14ac:dyDescent="0.25">
      <c r="A413" s="86"/>
      <c r="B413" s="86"/>
      <c r="C413" s="86"/>
      <c r="D413" s="86"/>
      <c r="E413" s="86"/>
      <c r="F413" s="86"/>
      <c r="G413" s="89" t="s">
        <v>79</v>
      </c>
      <c r="H413" s="89">
        <f>SUM(H410:H412)</f>
        <v>70759.806903391145</v>
      </c>
      <c r="I413" s="62" t="s">
        <v>52</v>
      </c>
      <c r="J413" s="86">
        <v>0.99536178826912403</v>
      </c>
      <c r="K413" s="86">
        <f>AC397+0*L388</f>
        <v>217.66666666666669</v>
      </c>
      <c r="L413" s="86">
        <f>J413*1.5*((K413-G412)*500/2+(K413-G412)*500)</f>
        <v>95181.471003234983</v>
      </c>
      <c r="M413" s="62" t="s">
        <v>56</v>
      </c>
      <c r="N413" s="86">
        <v>5.5426380476334604E-3</v>
      </c>
      <c r="O413" s="86">
        <f>AC398+1*L388</f>
        <v>283.33333333333337</v>
      </c>
      <c r="P413" s="86">
        <f>N413*1.5*((O413-K413)*500/2)</f>
        <v>136.48746192297398</v>
      </c>
    </row>
    <row r="414" spans="1:20" x14ac:dyDescent="0.25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9" t="s">
        <v>79</v>
      </c>
      <c r="L414" s="89">
        <f>SUM(L410:L413)</f>
        <v>95182.119708913844</v>
      </c>
      <c r="M414" s="62" t="s">
        <v>52</v>
      </c>
      <c r="N414" s="86">
        <v>0.99445106152749074</v>
      </c>
      <c r="O414" s="86">
        <f>AC398+0*L388</f>
        <v>271.33333333333337</v>
      </c>
      <c r="P414" s="86">
        <f>N414*1.5*((O414-K413)*500/2)</f>
        <v>20013.327613240759</v>
      </c>
      <c r="Q414" s="179" t="s">
        <v>80</v>
      </c>
      <c r="R414" s="179"/>
      <c r="S414" s="180">
        <f>D412+H413+L414+P415</f>
        <v>186091.89683523765</v>
      </c>
      <c r="T414" s="180"/>
    </row>
    <row r="415" spans="1:20" x14ac:dyDescent="0.25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9" t="s">
        <v>79</v>
      </c>
      <c r="P415" s="89">
        <f>SUM(P410:P414)</f>
        <v>20149.970222932669</v>
      </c>
      <c r="Q415" s="179"/>
      <c r="R415" s="179"/>
      <c r="S415" s="180"/>
      <c r="T415" s="180"/>
    </row>
    <row r="416" spans="1:20" x14ac:dyDescent="0.25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</row>
    <row r="417" spans="1:34" x14ac:dyDescent="0.25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</row>
    <row r="418" spans="1:34" x14ac:dyDescent="0.25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</row>
    <row r="419" spans="1:34" ht="24.75" thickBot="1" x14ac:dyDescent="0.3">
      <c r="O419" s="131" t="s">
        <v>81</v>
      </c>
      <c r="P419" s="131"/>
      <c r="Q419" s="131">
        <f>(R405+P405+M406+S414)/AC398</f>
        <v>1157.6468168326105</v>
      </c>
      <c r="R419" s="131"/>
    </row>
    <row r="420" spans="1:34" x14ac:dyDescent="0.25">
      <c r="A420" s="181" t="s">
        <v>116</v>
      </c>
      <c r="B420" s="182"/>
    </row>
    <row r="421" spans="1:34" ht="15.75" thickBot="1" x14ac:dyDescent="0.3">
      <c r="A421" s="183"/>
      <c r="B421" s="184"/>
    </row>
    <row r="422" spans="1:34" ht="21" x14ac:dyDescent="0.35">
      <c r="A422" s="185" t="s">
        <v>14</v>
      </c>
      <c r="B422" s="185"/>
      <c r="C422" s="165"/>
      <c r="D422" s="165"/>
      <c r="E422" s="165"/>
      <c r="F422" s="165"/>
      <c r="G422" s="165"/>
      <c r="H422" s="165"/>
      <c r="I422" s="165"/>
      <c r="J422" s="165"/>
      <c r="K422" s="165"/>
      <c r="L422" s="165"/>
      <c r="M422" s="165"/>
      <c r="O422" s="166" t="s">
        <v>72</v>
      </c>
      <c r="P422" s="166"/>
      <c r="Q422" s="166"/>
      <c r="R422" s="166"/>
      <c r="S422" s="166"/>
      <c r="T422" s="166"/>
      <c r="U422" s="166"/>
      <c r="V422" s="166"/>
    </row>
    <row r="423" spans="1:34" ht="36" x14ac:dyDescent="0.25">
      <c r="A423" s="4" t="s">
        <v>15</v>
      </c>
      <c r="B423" s="4" t="s">
        <v>16</v>
      </c>
      <c r="C423" s="4" t="s">
        <v>31</v>
      </c>
      <c r="D423" s="6" t="s">
        <v>17</v>
      </c>
      <c r="E423" s="6" t="s">
        <v>18</v>
      </c>
      <c r="F423" s="6" t="s">
        <v>19</v>
      </c>
      <c r="G423" s="6" t="s">
        <v>20</v>
      </c>
      <c r="H423" s="6" t="s">
        <v>21</v>
      </c>
      <c r="I423" s="6" t="s">
        <v>22</v>
      </c>
      <c r="J423" s="6" t="s">
        <v>23</v>
      </c>
      <c r="K423" s="6" t="s">
        <v>24</v>
      </c>
      <c r="L423" s="6" t="s">
        <v>25</v>
      </c>
      <c r="M423" s="6" t="s">
        <v>26</v>
      </c>
      <c r="N423" s="8"/>
      <c r="O423" s="167" t="s">
        <v>32</v>
      </c>
      <c r="P423" s="167" t="s">
        <v>35</v>
      </c>
      <c r="Q423" s="167" t="s">
        <v>66</v>
      </c>
      <c r="R423" s="99" t="s">
        <v>67</v>
      </c>
      <c r="S423" s="99" t="s">
        <v>68</v>
      </c>
      <c r="T423" s="167" t="s">
        <v>69</v>
      </c>
      <c r="U423" s="71" t="s">
        <v>33</v>
      </c>
      <c r="V423" s="99" t="s">
        <v>70</v>
      </c>
    </row>
    <row r="424" spans="1:34" x14ac:dyDescent="0.25">
      <c r="A424" s="3" t="s">
        <v>27</v>
      </c>
      <c r="B424" s="3">
        <v>0</v>
      </c>
      <c r="C424" s="3">
        <v>0.3</v>
      </c>
      <c r="D424" s="3">
        <v>243</v>
      </c>
      <c r="E424" s="3">
        <v>1.73</v>
      </c>
      <c r="F424" s="3">
        <v>5</v>
      </c>
      <c r="G424" s="169">
        <v>12</v>
      </c>
      <c r="H424" s="3">
        <v>1820</v>
      </c>
      <c r="I424" s="169">
        <v>19645</v>
      </c>
      <c r="J424" s="3">
        <v>20</v>
      </c>
      <c r="K424" s="3">
        <v>40</v>
      </c>
      <c r="L424" s="3">
        <v>500</v>
      </c>
      <c r="M424" s="3">
        <v>1000</v>
      </c>
      <c r="O424" s="168"/>
      <c r="P424" s="168"/>
      <c r="Q424" s="168"/>
      <c r="R424" s="72" t="s">
        <v>71</v>
      </c>
      <c r="S424" s="72" t="s">
        <v>71</v>
      </c>
      <c r="T424" s="168"/>
      <c r="U424" s="73">
        <v>500</v>
      </c>
      <c r="V424" s="3">
        <v>1.5</v>
      </c>
    </row>
    <row r="425" spans="1:34" x14ac:dyDescent="0.25">
      <c r="A425" s="3" t="s">
        <v>28</v>
      </c>
      <c r="B425" s="3">
        <v>0</v>
      </c>
      <c r="C425" s="3">
        <v>0.3</v>
      </c>
      <c r="D425" s="3">
        <v>254</v>
      </c>
      <c r="E425" s="3">
        <v>1.88</v>
      </c>
      <c r="F425" s="3">
        <v>3</v>
      </c>
      <c r="G425" s="170"/>
      <c r="H425" s="3">
        <v>2720</v>
      </c>
      <c r="I425" s="170"/>
      <c r="J425" s="5"/>
      <c r="K425" s="5"/>
      <c r="L425" s="5"/>
      <c r="M425" s="5"/>
      <c r="O425" s="74">
        <v>1</v>
      </c>
      <c r="P425" s="74">
        <v>106</v>
      </c>
      <c r="Q425" s="74">
        <v>110</v>
      </c>
      <c r="R425" s="74">
        <v>6</v>
      </c>
      <c r="S425" s="74">
        <v>5</v>
      </c>
      <c r="T425" s="74">
        <f>R425*$U$5/60+S425</f>
        <v>55</v>
      </c>
      <c r="U425" s="75"/>
    </row>
    <row r="426" spans="1:34" x14ac:dyDescent="0.25">
      <c r="A426" s="3" t="s">
        <v>29</v>
      </c>
      <c r="B426" s="3">
        <v>0</v>
      </c>
      <c r="C426" s="3">
        <v>0.3</v>
      </c>
      <c r="D426" s="3">
        <v>143</v>
      </c>
      <c r="E426" s="3">
        <v>2.4300000000000002</v>
      </c>
      <c r="F426" s="3">
        <v>8</v>
      </c>
      <c r="G426" s="170"/>
      <c r="H426" s="3">
        <v>3700</v>
      </c>
      <c r="I426" s="170"/>
      <c r="J426" s="5"/>
      <c r="K426" s="140" t="s">
        <v>73</v>
      </c>
      <c r="L426" s="141">
        <v>12</v>
      </c>
      <c r="M426" s="140" t="s">
        <v>74</v>
      </c>
      <c r="N426" s="141">
        <v>19645</v>
      </c>
      <c r="O426" s="74">
        <v>2</v>
      </c>
      <c r="P426" s="74">
        <v>76</v>
      </c>
      <c r="Q426" s="74">
        <v>40</v>
      </c>
      <c r="R426" s="74">
        <v>9</v>
      </c>
      <c r="S426" s="74">
        <v>2</v>
      </c>
      <c r="T426" s="74">
        <f t="shared" ref="T426:T428" si="44">R426*$U$5/60+S426</f>
        <v>77</v>
      </c>
      <c r="U426" s="75"/>
    </row>
    <row r="427" spans="1:34" x14ac:dyDescent="0.25">
      <c r="A427" s="3" t="s">
        <v>30</v>
      </c>
      <c r="B427" s="3">
        <v>0</v>
      </c>
      <c r="C427" s="3">
        <v>0.3</v>
      </c>
      <c r="D427" s="3">
        <v>449</v>
      </c>
      <c r="E427" s="3">
        <v>2.5299999999999998</v>
      </c>
      <c r="F427" s="3">
        <v>4</v>
      </c>
      <c r="G427" s="171"/>
      <c r="H427" s="3">
        <v>4320</v>
      </c>
      <c r="I427" s="171"/>
      <c r="J427" s="5"/>
      <c r="K427" s="140"/>
      <c r="L427" s="141"/>
      <c r="M427" s="140"/>
      <c r="N427" s="141"/>
      <c r="O427" s="74">
        <v>3</v>
      </c>
      <c r="P427" s="74">
        <v>95</v>
      </c>
      <c r="Q427" s="74">
        <v>67</v>
      </c>
      <c r="R427" s="74">
        <v>5</v>
      </c>
      <c r="S427" s="74">
        <v>4</v>
      </c>
      <c r="T427" s="74">
        <f t="shared" si="44"/>
        <v>45.666666666666664</v>
      </c>
      <c r="U427" s="75"/>
    </row>
    <row r="428" spans="1:34" ht="15.75" thickBo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O428" s="74">
        <v>4</v>
      </c>
      <c r="P428" s="74">
        <v>140</v>
      </c>
      <c r="Q428" s="94">
        <v>85</v>
      </c>
      <c r="R428" s="94">
        <v>8</v>
      </c>
      <c r="S428" s="94">
        <v>3</v>
      </c>
      <c r="T428" s="74">
        <f t="shared" si="44"/>
        <v>69.666666666666671</v>
      </c>
    </row>
    <row r="429" spans="1:34" x14ac:dyDescent="0.25">
      <c r="A429" s="142" t="s">
        <v>36</v>
      </c>
      <c r="B429" s="144" t="s">
        <v>106</v>
      </c>
      <c r="C429" s="144"/>
      <c r="D429" s="144"/>
      <c r="E429" s="144"/>
      <c r="F429" s="20" t="s">
        <v>27</v>
      </c>
      <c r="G429" s="20" t="s">
        <v>28</v>
      </c>
      <c r="H429" s="20" t="s">
        <v>29</v>
      </c>
      <c r="I429" s="20" t="s">
        <v>30</v>
      </c>
    </row>
    <row r="430" spans="1:34" ht="15.75" thickBot="1" x14ac:dyDescent="0.3">
      <c r="A430" s="143"/>
      <c r="B430" s="145"/>
      <c r="C430" s="145"/>
      <c r="D430" s="145"/>
      <c r="E430" s="145"/>
      <c r="F430" s="20">
        <v>126</v>
      </c>
      <c r="G430" s="26">
        <v>91</v>
      </c>
      <c r="H430" s="26">
        <v>67</v>
      </c>
      <c r="I430" s="26">
        <v>201</v>
      </c>
    </row>
    <row r="431" spans="1:34" ht="15.75" thickBot="1" x14ac:dyDescent="0.3">
      <c r="A431" s="143"/>
      <c r="B431" s="145"/>
      <c r="C431" s="145"/>
      <c r="D431" s="145"/>
      <c r="E431" s="145"/>
      <c r="F431" s="7"/>
      <c r="G431" s="146" t="s">
        <v>27</v>
      </c>
      <c r="H431" s="147"/>
      <c r="I431" s="147"/>
      <c r="J431" s="147"/>
      <c r="K431" s="148"/>
      <c r="L431" s="149" t="s">
        <v>28</v>
      </c>
      <c r="M431" s="150"/>
      <c r="N431" s="150"/>
      <c r="O431" s="150"/>
      <c r="P431" s="151"/>
      <c r="Q431" s="152" t="s">
        <v>29</v>
      </c>
      <c r="R431" s="153"/>
      <c r="S431" s="153"/>
      <c r="T431" s="153"/>
      <c r="U431" s="154"/>
      <c r="V431" s="155" t="s">
        <v>30</v>
      </c>
      <c r="W431" s="156"/>
      <c r="X431" s="156"/>
      <c r="Y431" s="156"/>
      <c r="Z431" s="157"/>
      <c r="AA431" s="158" t="s">
        <v>42</v>
      </c>
      <c r="AB431" s="159"/>
      <c r="AC431" s="160" t="s">
        <v>44</v>
      </c>
      <c r="AD431" s="162" t="s">
        <v>47</v>
      </c>
      <c r="AE431" s="163"/>
      <c r="AF431" s="163"/>
      <c r="AG431" s="164"/>
      <c r="AH431" s="138" t="s">
        <v>62</v>
      </c>
    </row>
    <row r="432" spans="1:34" ht="36.75" x14ac:dyDescent="0.25">
      <c r="A432" s="21" t="s">
        <v>32</v>
      </c>
      <c r="B432" s="22" t="s">
        <v>37</v>
      </c>
      <c r="C432" s="23" t="s">
        <v>33</v>
      </c>
      <c r="D432" s="22" t="s">
        <v>38</v>
      </c>
      <c r="E432" s="22" t="s">
        <v>34</v>
      </c>
      <c r="F432" s="25" t="s">
        <v>35</v>
      </c>
      <c r="G432" s="27" t="s">
        <v>39</v>
      </c>
      <c r="H432" s="10" t="s">
        <v>40</v>
      </c>
      <c r="I432" s="10" t="s">
        <v>45</v>
      </c>
      <c r="J432" s="10" t="s">
        <v>46</v>
      </c>
      <c r="K432" s="28" t="s">
        <v>41</v>
      </c>
      <c r="L432" s="30" t="s">
        <v>39</v>
      </c>
      <c r="M432" s="13" t="s">
        <v>40</v>
      </c>
      <c r="N432" s="13" t="s">
        <v>45</v>
      </c>
      <c r="O432" s="13" t="s">
        <v>46</v>
      </c>
      <c r="P432" s="31" t="s">
        <v>41</v>
      </c>
      <c r="Q432" s="33" t="s">
        <v>39</v>
      </c>
      <c r="R432" s="12" t="s">
        <v>40</v>
      </c>
      <c r="S432" s="12" t="s">
        <v>45</v>
      </c>
      <c r="T432" s="12" t="s">
        <v>46</v>
      </c>
      <c r="U432" s="34" t="s">
        <v>41</v>
      </c>
      <c r="V432" s="36" t="s">
        <v>39</v>
      </c>
      <c r="W432" s="11" t="s">
        <v>40</v>
      </c>
      <c r="X432" s="11" t="s">
        <v>45</v>
      </c>
      <c r="Y432" s="11" t="s">
        <v>46</v>
      </c>
      <c r="Z432" s="37" t="s">
        <v>41</v>
      </c>
      <c r="AA432" s="39" t="s">
        <v>41</v>
      </c>
      <c r="AB432" s="40" t="s">
        <v>43</v>
      </c>
      <c r="AC432" s="161"/>
      <c r="AD432" s="43" t="s">
        <v>27</v>
      </c>
      <c r="AE432" s="1" t="s">
        <v>28</v>
      </c>
      <c r="AF432" s="1" t="s">
        <v>29</v>
      </c>
      <c r="AG432" s="1" t="s">
        <v>30</v>
      </c>
      <c r="AH432" s="139"/>
    </row>
    <row r="433" spans="1:34" x14ac:dyDescent="0.25">
      <c r="A433" s="24">
        <v>1</v>
      </c>
      <c r="B433" s="9">
        <v>6</v>
      </c>
      <c r="C433" s="9">
        <v>500</v>
      </c>
      <c r="D433" s="9">
        <v>5</v>
      </c>
      <c r="E433" s="48">
        <f>B433*C433/60+D433</f>
        <v>55</v>
      </c>
      <c r="F433" s="100">
        <v>106</v>
      </c>
      <c r="G433" s="49">
        <f>B$5*(1-AD433*C$5)</f>
        <v>0</v>
      </c>
      <c r="H433" s="50">
        <f>G433+E433</f>
        <v>55</v>
      </c>
      <c r="I433" s="15">
        <f>(H433/D$5)^E$5</f>
        <v>7.6511831764011648E-2</v>
      </c>
      <c r="J433" s="15">
        <f>(G433/D$5)^E$5</f>
        <v>0</v>
      </c>
      <c r="K433" s="29">
        <f>1-EXP(J433-I433)</f>
        <v>7.3658046035411151E-2</v>
      </c>
      <c r="L433" s="51">
        <f>B$6*(1-AE433*C$6)</f>
        <v>0</v>
      </c>
      <c r="M433" s="52">
        <f>L433+E433</f>
        <v>55</v>
      </c>
      <c r="N433" s="17">
        <f>(M433/D$6)^E$6</f>
        <v>5.633709759436846E-2</v>
      </c>
      <c r="O433" s="17">
        <f>(L433/D$6)^E$6</f>
        <v>0</v>
      </c>
      <c r="P433" s="32">
        <f>1-EXP(O433-N433)</f>
        <v>5.4779549360660096E-2</v>
      </c>
      <c r="Q433" s="53">
        <f>B$7*(1-AF433*C$7)</f>
        <v>0</v>
      </c>
      <c r="R433" s="54">
        <f>Q433+E433</f>
        <v>55</v>
      </c>
      <c r="S433" s="16">
        <f>(R433/D$7)^E$7</f>
        <v>9.8087748172662498E-2</v>
      </c>
      <c r="T433" s="16">
        <f>(Q433/D$7)^E$7</f>
        <v>0</v>
      </c>
      <c r="U433" s="35">
        <f>1-EXP(T433-S433)</f>
        <v>9.3430649540250821E-2</v>
      </c>
      <c r="V433" s="55">
        <f>B$8*(1-AG433*C$8)</f>
        <v>0</v>
      </c>
      <c r="W433" s="56">
        <f>V433+E433</f>
        <v>55</v>
      </c>
      <c r="X433" s="18">
        <f>(W433/D$8)^E$8</f>
        <v>4.9309927237744132E-3</v>
      </c>
      <c r="Y433" s="18">
        <f>(V433/D$8)^E$8</f>
        <v>0</v>
      </c>
      <c r="Z433" s="38">
        <f>1-EXP(Y433-X433)</f>
        <v>4.9188553371368737E-3</v>
      </c>
      <c r="AA433" s="41">
        <f>K433*P433*U433*Z433</f>
        <v>1.8543515323034395E-6</v>
      </c>
      <c r="AB433" s="42">
        <f>1-AA433</f>
        <v>0.99999814564846767</v>
      </c>
      <c r="AC433" s="47">
        <f>(AD433*F$5+AE433*F$6+AF433*F$7+AG433*F$8)+E433</f>
        <v>55</v>
      </c>
      <c r="AD433" s="43">
        <v>0</v>
      </c>
      <c r="AE433" s="1">
        <v>0</v>
      </c>
      <c r="AF433" s="1">
        <v>0</v>
      </c>
      <c r="AG433" s="1">
        <v>0</v>
      </c>
      <c r="AH433" s="74">
        <v>110</v>
      </c>
    </row>
    <row r="434" spans="1:34" x14ac:dyDescent="0.25">
      <c r="A434" s="76">
        <v>4</v>
      </c>
      <c r="B434" s="58">
        <v>8</v>
      </c>
      <c r="C434" s="9">
        <v>500</v>
      </c>
      <c r="D434" s="58">
        <v>3</v>
      </c>
      <c r="E434" s="48">
        <f t="shared" ref="E434:E436" si="45">B434*C434/60+D434</f>
        <v>69.666666666666671</v>
      </c>
      <c r="F434" s="100">
        <v>140</v>
      </c>
      <c r="G434" s="49">
        <f>H433*(1-AD434*C$5)</f>
        <v>55</v>
      </c>
      <c r="H434" s="50">
        <f>G434+E434</f>
        <v>124.66666666666667</v>
      </c>
      <c r="I434" s="15">
        <f>(H434/D$5)^E$5</f>
        <v>0.31517317577772647</v>
      </c>
      <c r="J434" s="15">
        <f>(G434/D$5)^E$5</f>
        <v>7.6511831764011648E-2</v>
      </c>
      <c r="K434" s="29">
        <f>1-EXP(J434-I434)</f>
        <v>0.21231840970513827</v>
      </c>
      <c r="L434" s="51">
        <f>M433*(1-AE434*C$6)</f>
        <v>55</v>
      </c>
      <c r="M434" s="52">
        <f>L434+E434</f>
        <v>124.66666666666667</v>
      </c>
      <c r="N434" s="17">
        <f>(M434/D$6)^E$6</f>
        <v>0.26237549202961352</v>
      </c>
      <c r="O434" s="17">
        <f>(L434/D$6)^E$6</f>
        <v>5.633709759436846E-2</v>
      </c>
      <c r="P434" s="32">
        <f>1-EXP(O434-N434)</f>
        <v>0.18619816977858561</v>
      </c>
      <c r="Q434" s="53">
        <f>R433*(1-AF434*C$7)</f>
        <v>38.5</v>
      </c>
      <c r="R434" s="54">
        <f>Q434+E434</f>
        <v>108.16666666666667</v>
      </c>
      <c r="S434" s="16">
        <f>(R434/D$7)^E$7</f>
        <v>0.50743509891020977</v>
      </c>
      <c r="T434" s="16">
        <f>(Q434/D$7)^E$7</f>
        <v>4.1229019029394576E-2</v>
      </c>
      <c r="U434" s="35">
        <f>1-EXP(T434-S434)</f>
        <v>0.37262201925510419</v>
      </c>
      <c r="V434" s="55">
        <f>W433*(1-AG434*C$8)</f>
        <v>55</v>
      </c>
      <c r="W434" s="56">
        <f>V434+E434</f>
        <v>124.66666666666667</v>
      </c>
      <c r="X434" s="18">
        <f>(W434/D$8)^E$8</f>
        <v>3.9089951931753103E-2</v>
      </c>
      <c r="Y434" s="18">
        <f>(V434/D$8)^E$8</f>
        <v>4.9309927237744132E-3</v>
      </c>
      <c r="Z434" s="38">
        <f>1-EXP(Y434-X434)</f>
        <v>3.3582128592293481E-2</v>
      </c>
      <c r="AA434" s="41">
        <f>K434*P434*U434*Z434</f>
        <v>4.9469759117321997E-4</v>
      </c>
      <c r="AB434" s="42">
        <f>1-AA434</f>
        <v>0.99950530240882673</v>
      </c>
      <c r="AC434" s="47">
        <f>AF434*F$7+E434+AC433</f>
        <v>132.66666666666669</v>
      </c>
      <c r="AD434" s="43">
        <v>0</v>
      </c>
      <c r="AE434" s="1">
        <v>0</v>
      </c>
      <c r="AF434" s="1">
        <v>1</v>
      </c>
      <c r="AG434" s="1">
        <v>0</v>
      </c>
      <c r="AH434" s="74">
        <v>85</v>
      </c>
    </row>
    <row r="435" spans="1:34" x14ac:dyDescent="0.25">
      <c r="A435" s="24">
        <v>3</v>
      </c>
      <c r="B435" s="9">
        <v>5</v>
      </c>
      <c r="C435" s="58">
        <v>500</v>
      </c>
      <c r="D435" s="58">
        <v>4</v>
      </c>
      <c r="E435" s="48">
        <f t="shared" si="45"/>
        <v>45.666666666666664</v>
      </c>
      <c r="F435" s="100">
        <v>95</v>
      </c>
      <c r="G435" s="68">
        <f>H434*(1-AD435*C$5)</f>
        <v>87.266666666666666</v>
      </c>
      <c r="H435" s="69">
        <f>G435+E435</f>
        <v>132.93333333333334</v>
      </c>
      <c r="I435" s="70">
        <f>(H435/D$5)^E$5</f>
        <v>0.35219872941851332</v>
      </c>
      <c r="J435" s="70">
        <f>(G435/D$5)^E$5</f>
        <v>0.17004695403506842</v>
      </c>
      <c r="K435" s="29">
        <f>1-EXP(J435-I435)</f>
        <v>0.16652517014650903</v>
      </c>
      <c r="L435" s="51">
        <f>M434*(1-AE435*C$6)</f>
        <v>87.266666666666666</v>
      </c>
      <c r="M435" s="52">
        <f>L435+E435</f>
        <v>132.93333333333334</v>
      </c>
      <c r="N435" s="17">
        <f>(M435/D$6)^E$6</f>
        <v>0.29603586895842493</v>
      </c>
      <c r="O435" s="17">
        <f>(L435/D$6)^E$6</f>
        <v>0.13418611561976262</v>
      </c>
      <c r="P435" s="32">
        <f>1-EXP(O435-N435)</f>
        <v>0.14943100990868496</v>
      </c>
      <c r="Q435" s="53">
        <f>R434*(1-AF435*C$7)</f>
        <v>75.716666666666669</v>
      </c>
      <c r="R435" s="54">
        <f>Q435+E435</f>
        <v>121.38333333333333</v>
      </c>
      <c r="S435" s="16">
        <f>(R435/D$7)^E$7</f>
        <v>0.67149060963312091</v>
      </c>
      <c r="T435" s="16">
        <f>(Q435/D$7)^E$7</f>
        <v>0.21328913894857404</v>
      </c>
      <c r="U435" s="35">
        <f>1-EXP(T435-S435)</f>
        <v>0.36757995072884941</v>
      </c>
      <c r="V435" s="55">
        <f>W434*(1-AG435*C$8)</f>
        <v>124.66666666666667</v>
      </c>
      <c r="W435" s="56">
        <f>V435+E435</f>
        <v>170.33333333333334</v>
      </c>
      <c r="X435" s="18">
        <f>(W435/D$8)^E$8</f>
        <v>8.6100338756432887E-2</v>
      </c>
      <c r="Y435" s="18">
        <f>(V435/D$8)^E$8</f>
        <v>3.9089951931753103E-2</v>
      </c>
      <c r="Z435" s="38">
        <f>1-EXP(Y435-X435)</f>
        <v>4.5922512296690643E-2</v>
      </c>
      <c r="AA435" s="41">
        <f>K435*P435*U435*Z435</f>
        <v>4.2004717862267118E-4</v>
      </c>
      <c r="AB435" s="42">
        <f>1-AA435</f>
        <v>0.99957995282137735</v>
      </c>
      <c r="AC435" s="47">
        <f>(AF435*F$7)+E435+AC434</f>
        <v>186.33333333333334</v>
      </c>
      <c r="AD435" s="77">
        <v>1</v>
      </c>
      <c r="AE435" s="78">
        <v>1</v>
      </c>
      <c r="AF435" s="78">
        <v>1</v>
      </c>
      <c r="AG435" s="78">
        <v>0</v>
      </c>
      <c r="AH435" s="74">
        <v>67</v>
      </c>
    </row>
    <row r="436" spans="1:34" ht="15.75" thickBot="1" x14ac:dyDescent="0.3">
      <c r="A436" s="57">
        <v>2</v>
      </c>
      <c r="B436" s="58">
        <v>9</v>
      </c>
      <c r="C436" s="58">
        <v>500</v>
      </c>
      <c r="D436" s="9">
        <v>2</v>
      </c>
      <c r="E436" s="48">
        <f t="shared" si="45"/>
        <v>77</v>
      </c>
      <c r="F436" s="100">
        <v>76</v>
      </c>
      <c r="G436" s="68">
        <f>H435*(1-AD436*C$5)</f>
        <v>93.053333333333327</v>
      </c>
      <c r="H436" s="69">
        <f>G436+E436</f>
        <v>170.05333333333334</v>
      </c>
      <c r="I436" s="70">
        <f>(H436/D$5)^E$5</f>
        <v>0.5392789330539719</v>
      </c>
      <c r="J436" s="70">
        <f>(G436/D$5)^E$5</f>
        <v>0.19002353548918979</v>
      </c>
      <c r="K436" s="29">
        <f>1-EXP(J436-I436)</f>
        <v>0.294787002414027</v>
      </c>
      <c r="L436" s="51">
        <f>M435*(1-AE436*C$6)</f>
        <v>93.053333333333327</v>
      </c>
      <c r="M436" s="52">
        <f>L436+E436</f>
        <v>170.05333333333334</v>
      </c>
      <c r="N436" s="17">
        <f>(M436/D$6)^E$6</f>
        <v>0.47034084314905283</v>
      </c>
      <c r="O436" s="17">
        <f>(L436/D$6)^E$6</f>
        <v>0.15140096749268256</v>
      </c>
      <c r="P436" s="32">
        <f>1-EXP(O436-N436)</f>
        <v>0.27308074646452829</v>
      </c>
      <c r="Q436" s="53">
        <f>R435*(1-AF436*C$7)</f>
        <v>84.96833333333332</v>
      </c>
      <c r="R436" s="54">
        <f>Q436+E436</f>
        <v>161.96833333333331</v>
      </c>
      <c r="S436" s="16">
        <f>(R436/D$7)^E$7</f>
        <v>1.3534699074004961</v>
      </c>
      <c r="T436" s="16">
        <f>(Q436/D$7)^E$7</f>
        <v>0.28224625030529144</v>
      </c>
      <c r="U436" s="35">
        <f>1-EXP(T436-S436)</f>
        <v>0.65741095069244282</v>
      </c>
      <c r="V436" s="55">
        <f>W435*(1-AG436*C$8)</f>
        <v>119.23333333333333</v>
      </c>
      <c r="W436" s="56">
        <f>V436+E436</f>
        <v>196.23333333333335</v>
      </c>
      <c r="X436" s="18">
        <f>(W436/D$8)^E$8</f>
        <v>0.12317764407834959</v>
      </c>
      <c r="Y436" s="18">
        <f>(V436/D$8)^E$8</f>
        <v>3.4922305031534845E-2</v>
      </c>
      <c r="Z436" s="38">
        <f>1-EXP(Y436-X436)</f>
        <v>8.4472922935685868E-2</v>
      </c>
      <c r="AA436" s="41">
        <f>K436*P436*U436*Z436</f>
        <v>4.470477034196038E-3</v>
      </c>
      <c r="AB436" s="42">
        <f>1-AA436</f>
        <v>0.99552952296580399</v>
      </c>
      <c r="AC436" s="47">
        <f>(AF436*F$7)+E436+AC435</f>
        <v>271.33333333333337</v>
      </c>
      <c r="AD436" s="80">
        <v>1</v>
      </c>
      <c r="AE436" s="45">
        <v>1</v>
      </c>
      <c r="AF436" s="81">
        <v>1</v>
      </c>
      <c r="AG436" s="45">
        <v>1</v>
      </c>
      <c r="AH436" s="94">
        <v>40</v>
      </c>
    </row>
    <row r="437" spans="1:34" ht="18.75" x14ac:dyDescent="0.3">
      <c r="A437" s="132" t="s">
        <v>53</v>
      </c>
      <c r="B437" s="132"/>
      <c r="C437" s="132"/>
      <c r="D437" s="132"/>
      <c r="E437" s="132"/>
      <c r="F437" s="132"/>
      <c r="G437" s="132"/>
      <c r="H437" s="132"/>
      <c r="I437" s="132"/>
      <c r="J437" s="132"/>
      <c r="AG437" s="46"/>
    </row>
    <row r="438" spans="1:34" ht="15.75" x14ac:dyDescent="0.25">
      <c r="A438" s="19" t="s">
        <v>58</v>
      </c>
      <c r="B438" s="60" t="s">
        <v>49</v>
      </c>
      <c r="C438" s="61" t="s">
        <v>50</v>
      </c>
      <c r="D438" s="19" t="s">
        <v>48</v>
      </c>
      <c r="E438" s="60" t="s">
        <v>57</v>
      </c>
      <c r="F438" s="61" t="s">
        <v>50</v>
      </c>
      <c r="G438" s="19" t="s">
        <v>82</v>
      </c>
      <c r="H438" s="60" t="s">
        <v>61</v>
      </c>
      <c r="I438" s="61" t="s">
        <v>50</v>
      </c>
      <c r="J438" s="19" t="s">
        <v>54</v>
      </c>
      <c r="K438" s="83" t="s">
        <v>84</v>
      </c>
      <c r="L438" s="61" t="s">
        <v>50</v>
      </c>
      <c r="M438" s="61" t="s">
        <v>85</v>
      </c>
      <c r="O438" s="174" t="s">
        <v>64</v>
      </c>
      <c r="P438" s="174"/>
      <c r="Q438" s="175" t="s">
        <v>109</v>
      </c>
      <c r="R438" s="175"/>
    </row>
    <row r="439" spans="1:34" ht="24.75" x14ac:dyDescent="0.25">
      <c r="A439" s="61" t="s">
        <v>51</v>
      </c>
      <c r="B439" s="1">
        <f>AA433</f>
        <v>1.8543515323034395E-6</v>
      </c>
      <c r="C439" s="59">
        <f>MAX(AC433+1*L426-F433,0)</f>
        <v>0</v>
      </c>
      <c r="D439" s="62" t="s">
        <v>55</v>
      </c>
      <c r="E439" s="1">
        <f>AA433*AA434</f>
        <v>9.1734323621888092E-10</v>
      </c>
      <c r="F439" s="1">
        <f>MAX(AC434+2*L426-F434,0)</f>
        <v>16.666666666666686</v>
      </c>
      <c r="G439" s="62" t="s">
        <v>59</v>
      </c>
      <c r="H439" s="1">
        <f>AA433*AA434*AA435</f>
        <v>3.8532743820233149E-13</v>
      </c>
      <c r="I439" s="1">
        <f>AC435+3*L426-F435</f>
        <v>127.33333333333334</v>
      </c>
      <c r="J439" s="62" t="s">
        <v>83</v>
      </c>
      <c r="K439" s="1">
        <f>AA433*AA434*AA435*AA436</f>
        <v>1.7225974631291161E-15</v>
      </c>
      <c r="L439" s="1">
        <f>AC436+4*L426-F436</f>
        <v>243.33333333333337</v>
      </c>
      <c r="M439" s="1">
        <f>B439*C439*AH433+E439*F439*AH434+H439*I439*AH435+K439*L439*AH436</f>
        <v>1.3028737080765076E-6</v>
      </c>
      <c r="O439" s="1" t="s">
        <v>27</v>
      </c>
      <c r="P439" s="1">
        <f>2*H424</f>
        <v>3640</v>
      </c>
      <c r="Q439" s="1">
        <f>(K433*(1-P433)*(1-U433)*(1-Z433))+(P433*(1-K433)*(1-U433)*(1-Z433))+(U433*(1-K433)*(1-P433)*(1-Z433))+(Z433*(1-K433)*(1-P433)*(1-U433))</f>
        <v>0.19389466846386108</v>
      </c>
      <c r="R439" s="1">
        <f>Q439*(L$7*(J$5*K$5+L$5)+I$5)</f>
        <v>6833.8175900087836</v>
      </c>
    </row>
    <row r="440" spans="1:34" ht="24.75" x14ac:dyDescent="0.25">
      <c r="A440" s="62" t="s">
        <v>52</v>
      </c>
      <c r="B440" s="1">
        <f>AB433</f>
        <v>0.99999814564846767</v>
      </c>
      <c r="C440" s="59">
        <f>MAX(AC433-F433,0)</f>
        <v>0</v>
      </c>
      <c r="D440" s="62" t="s">
        <v>56</v>
      </c>
      <c r="E440" s="1">
        <f>AA433*AB434+AA434*AB433</f>
        <v>4.9655010801905096E-4</v>
      </c>
      <c r="F440" s="1">
        <f>MAX(AC434+1*L426-F434,0)</f>
        <v>4.6666666666666856</v>
      </c>
      <c r="G440" s="62" t="s">
        <v>60</v>
      </c>
      <c r="H440" s="1">
        <f>AA433*AA434*AB435+AA434*AA435*AB433+AA433*AA435*AB434</f>
        <v>2.0949142982696563E-7</v>
      </c>
      <c r="I440" s="1">
        <f>AC435+2*L426-F435</f>
        <v>115.33333333333334</v>
      </c>
      <c r="J440" s="62" t="s">
        <v>59</v>
      </c>
      <c r="K440">
        <f>AB433*AA434*AA435*AA436+AB434*AA433*AA435*AA436*+AB435*AA433*AA434*AA436+AB436*AA433*AA434*AA435</f>
        <v>9.2933059187082196E-10</v>
      </c>
      <c r="L440" s="1">
        <f>AC436+3*L426-F436</f>
        <v>231.33333333333337</v>
      </c>
      <c r="M440" s="1">
        <f>B440*C440*AH433+E440*F440*AH434+H440*I440*AH435+K440*L440*AH436</f>
        <v>0.19859228569538401</v>
      </c>
      <c r="O440" s="1" t="s">
        <v>28</v>
      </c>
      <c r="P440" s="1">
        <f>2*H425</f>
        <v>5440</v>
      </c>
      <c r="Q440" s="1">
        <f t="shared" ref="Q440:Q442" si="46">(K434*(1-P434)*(1-U434)*(1-Z434))+(P434*(1-K434)*(1-U434)*(1-Z434))+(U434*(1-K434)*(1-P434)*(1-Z434))+(Z434*(1-K434)*(1-P434)*(1-U434))</f>
        <v>0.43802649314827469</v>
      </c>
      <c r="R440" s="1">
        <f t="shared" ref="R440:R442" si="47">Q440*(L$7*(J$5*K$5+L$5)+I$5)</f>
        <v>15438.243751010941</v>
      </c>
    </row>
    <row r="441" spans="1:34" ht="24.75" x14ac:dyDescent="0.25">
      <c r="A441" s="1"/>
      <c r="B441" s="1"/>
      <c r="C441" s="1"/>
      <c r="D441" s="62" t="s">
        <v>52</v>
      </c>
      <c r="E441" s="1">
        <f>AB433*AB434</f>
        <v>0.99950344897463761</v>
      </c>
      <c r="F441" s="59">
        <f>MAX(AC434-F434,0)</f>
        <v>0</v>
      </c>
      <c r="G441" s="62" t="s">
        <v>56</v>
      </c>
      <c r="H441" s="1">
        <f>AA433*AB434*AB435+AA434*AB433*AB435*+AA435*AB433*AB434</f>
        <v>2.0602611793353144E-6</v>
      </c>
      <c r="I441" s="1">
        <f>AC435+1*L426-F435</f>
        <v>103.33333333333334</v>
      </c>
      <c r="J441" s="62" t="s">
        <v>60</v>
      </c>
      <c r="K441" s="1">
        <f>AA433*AA434*AB435*AB436 + AA433*AA435*AB434*AB436 + AA433*AA436*AB434*AB435 + AA434*AA435*AB433*AB436 + AA434*AA436*AB433*AB435 + AA435*AA436*AB433*AB434</f>
        <v>4.3043171662434282E-6</v>
      </c>
      <c r="L441" s="1">
        <f>AC436+2*L426-F436</f>
        <v>219.33333333333337</v>
      </c>
      <c r="M441" s="1">
        <f>B441*C441*AH433+E441*F441*AH434+H441*I441*AH435+K441*L441*AH436</f>
        <v>5.2027084170107173E-2</v>
      </c>
      <c r="O441" s="1" t="s">
        <v>29</v>
      </c>
      <c r="P441" s="1">
        <f>3*(F426*(J424*K424+L424)+H426)</f>
        <v>42300</v>
      </c>
      <c r="Q441" s="1">
        <f t="shared" si="46"/>
        <v>0.4298217204153354</v>
      </c>
      <c r="R441" s="1">
        <f t="shared" si="47"/>
        <v>15149.066536038496</v>
      </c>
    </row>
    <row r="442" spans="1:34" ht="24.75" x14ac:dyDescent="0.25">
      <c r="A442" s="1"/>
      <c r="B442" s="1"/>
      <c r="C442" s="1"/>
      <c r="D442" s="1"/>
      <c r="E442" s="1"/>
      <c r="F442" s="1"/>
      <c r="G442" s="62" t="s">
        <v>52</v>
      </c>
      <c r="H442" s="1">
        <f>AB433*AB434*AB435</f>
        <v>0.99908361037087223</v>
      </c>
      <c r="I442" s="63">
        <f>AC435-F435</f>
        <v>91.333333333333343</v>
      </c>
      <c r="J442" s="62" t="s">
        <v>56</v>
      </c>
      <c r="K442" s="1">
        <f>AA433*AB434*AB435*AB436+AA434*AB433*AB435*AB436+AA435*AB433*AB434*AB436+AA436*AB433*AB434*AB435</f>
        <v>5.3784647104541637E-3</v>
      </c>
      <c r="L442" s="1">
        <f>AC436+1*L426-F436</f>
        <v>207.33333333333337</v>
      </c>
      <c r="M442" s="1">
        <f>B442*C442*AH433+E442*F442*AH434+H442*I442*AH435+K442*L442*AH436</f>
        <v>6158.3310403948581</v>
      </c>
      <c r="O442" s="1" t="s">
        <v>30</v>
      </c>
      <c r="P442" s="1">
        <f>1*H427</f>
        <v>4320</v>
      </c>
      <c r="Q442" s="1">
        <f t="shared" si="46"/>
        <v>0.45099104033759696</v>
      </c>
      <c r="R442" s="1">
        <f t="shared" si="47"/>
        <v>15895.179216698605</v>
      </c>
    </row>
    <row r="443" spans="1:34" ht="30" x14ac:dyDescent="0.25">
      <c r="I443" s="84"/>
      <c r="J443" s="62" t="s">
        <v>52</v>
      </c>
      <c r="K443" s="85">
        <f>AB433*AB434*AB435*AB436</f>
        <v>0.99461723003546765</v>
      </c>
      <c r="L443" s="1">
        <f>AC436+0*L426-F436</f>
        <v>195.33333333333337</v>
      </c>
      <c r="M443" s="1">
        <f>B443*C443*AH433+E443*F443*AH434+H443*I443*AH435+K443*L443*AH436</f>
        <v>7771.2759573437888</v>
      </c>
      <c r="O443" s="64" t="s">
        <v>65</v>
      </c>
      <c r="P443" s="65">
        <f>SUM(P439:P442)</f>
        <v>55700</v>
      </c>
      <c r="Q443" s="96" t="s">
        <v>108</v>
      </c>
      <c r="R443" s="97">
        <f>SUM(R439:R442)</f>
        <v>53316.307093756826</v>
      </c>
    </row>
    <row r="444" spans="1:34" x14ac:dyDescent="0.25">
      <c r="L444" s="176" t="s">
        <v>63</v>
      </c>
      <c r="M444" s="177">
        <f>SUM(M439:M443)</f>
        <v>13929.857618411386</v>
      </c>
    </row>
    <row r="445" spans="1:34" x14ac:dyDescent="0.25">
      <c r="L445" s="176"/>
      <c r="M445" s="177"/>
    </row>
    <row r="446" spans="1:34" x14ac:dyDescent="0.25">
      <c r="A446" s="178" t="s">
        <v>90</v>
      </c>
      <c r="B446" s="178"/>
      <c r="C446" s="178"/>
      <c r="D446" s="178"/>
      <c r="E446" s="178"/>
      <c r="F446" s="178"/>
      <c r="G446" s="178"/>
      <c r="H446" s="178"/>
      <c r="I446" s="178"/>
      <c r="J446" s="178"/>
      <c r="K446" s="178"/>
      <c r="L446" s="178"/>
      <c r="M446" s="178"/>
      <c r="N446" s="178"/>
    </row>
    <row r="447" spans="1:34" ht="15.75" x14ac:dyDescent="0.25">
      <c r="A447" s="87" t="s">
        <v>77</v>
      </c>
      <c r="B447" s="62" t="s">
        <v>49</v>
      </c>
      <c r="C447" s="90" t="s">
        <v>78</v>
      </c>
      <c r="D447" s="62" t="s">
        <v>88</v>
      </c>
      <c r="E447" s="87" t="s">
        <v>75</v>
      </c>
      <c r="F447" s="62" t="s">
        <v>57</v>
      </c>
      <c r="G447" s="90" t="s">
        <v>87</v>
      </c>
      <c r="H447" s="62" t="s">
        <v>88</v>
      </c>
      <c r="I447" s="87" t="s">
        <v>86</v>
      </c>
      <c r="J447" s="62" t="s">
        <v>61</v>
      </c>
      <c r="K447" s="90" t="s">
        <v>103</v>
      </c>
      <c r="L447" s="62" t="s">
        <v>88</v>
      </c>
      <c r="M447" s="87" t="s">
        <v>76</v>
      </c>
      <c r="N447" s="62" t="s">
        <v>84</v>
      </c>
      <c r="O447" s="90" t="s">
        <v>102</v>
      </c>
      <c r="P447" s="62" t="s">
        <v>88</v>
      </c>
    </row>
    <row r="448" spans="1:34" ht="24.75" x14ac:dyDescent="0.25">
      <c r="A448" s="62" t="s">
        <v>51</v>
      </c>
      <c r="B448" s="86">
        <v>1.8543515323034395E-6</v>
      </c>
      <c r="C448" s="86">
        <f>AC433+1*L426</f>
        <v>67</v>
      </c>
      <c r="D448" s="86">
        <f>MAX(B448*1.5*((C448-F433)*500/2),0)</f>
        <v>0</v>
      </c>
      <c r="E448" s="62" t="s">
        <v>55</v>
      </c>
      <c r="F448" s="86">
        <v>9.1734323621888092E-10</v>
      </c>
      <c r="G448" s="86">
        <f>AC434+2*L426</f>
        <v>156.66666666666669</v>
      </c>
      <c r="H448" s="86">
        <f>F448*1.5*((G448-F434)*500/2+(G448-F435)*500+(G448-F436)*500)</f>
        <v>1.0365978569273358E-4</v>
      </c>
      <c r="I448" s="62" t="s">
        <v>59</v>
      </c>
      <c r="J448" s="86">
        <v>3.8532743820233149E-13</v>
      </c>
      <c r="K448" s="86">
        <f>AC435+3*L426</f>
        <v>222.33333333333334</v>
      </c>
      <c r="L448" s="86">
        <f>J448*1.5*((K448-G448)*500/2+(K448-G448)*500)</f>
        <v>2.8466064497197235E-8</v>
      </c>
      <c r="M448" s="62" t="s">
        <v>83</v>
      </c>
      <c r="N448" s="86">
        <v>1.7225974631291161E-15</v>
      </c>
      <c r="O448" s="86">
        <f>AC436+4*L426</f>
        <v>319.33333333333337</v>
      </c>
      <c r="P448" s="86">
        <f>N448*1.5*((O448-K448)*500/2)</f>
        <v>6.2659482721321623E-11</v>
      </c>
    </row>
    <row r="449" spans="1:22" ht="24.75" x14ac:dyDescent="0.25">
      <c r="A449" s="62" t="s">
        <v>52</v>
      </c>
      <c r="B449" s="86">
        <v>0.99999814564846767</v>
      </c>
      <c r="C449" s="88">
        <f>AC433</f>
        <v>55</v>
      </c>
      <c r="D449" s="86">
        <f>MAX(B449*1.5*((C449-F433)*500/2),0)</f>
        <v>0</v>
      </c>
      <c r="E449" s="62" t="s">
        <v>56</v>
      </c>
      <c r="F449" s="86">
        <v>4.9655010801905096E-4</v>
      </c>
      <c r="G449" s="86">
        <f>AC434+1*L426</f>
        <v>144.66666666666669</v>
      </c>
      <c r="H449" s="86">
        <f>F449*1.5*((G449-F434)*500/2+(G449-F435)*500+(G449-F436)*500)</f>
        <v>44.937784775724133</v>
      </c>
      <c r="I449" s="62" t="s">
        <v>60</v>
      </c>
      <c r="J449" s="86">
        <v>2.0949142982696563E-7</v>
      </c>
      <c r="K449" s="86">
        <f>AC435+2*L426</f>
        <v>210.33333333333334</v>
      </c>
      <c r="L449" s="86">
        <f>J449*1.5*((K449-G449)*500/2+(K449-G449)*500)</f>
        <v>1.5476179378467082E-2</v>
      </c>
      <c r="M449" s="62" t="s">
        <v>59</v>
      </c>
      <c r="N449" s="86">
        <v>9.2933059187082196E-10</v>
      </c>
      <c r="O449" s="86">
        <f>AC436+3*L426</f>
        <v>307.33333333333337</v>
      </c>
      <c r="P449" s="86">
        <f>N449*1.5*((O449-K449)*500/2)</f>
        <v>3.3804400279301157E-5</v>
      </c>
    </row>
    <row r="450" spans="1:22" x14ac:dyDescent="0.25">
      <c r="A450" s="86"/>
      <c r="B450" s="86"/>
      <c r="C450" s="89" t="s">
        <v>89</v>
      </c>
      <c r="D450" s="89">
        <f>SUM(D448:D449)</f>
        <v>0</v>
      </c>
      <c r="E450" s="62" t="s">
        <v>52</v>
      </c>
      <c r="F450" s="86">
        <v>0.99950344897463761</v>
      </c>
      <c r="G450" s="86">
        <f>AC434+0*L426</f>
        <v>132.66666666666669</v>
      </c>
      <c r="H450" s="86">
        <f>F450*1.5*((G450-F435)*500+(G450-F436)*500)</f>
        <v>70714.869014955635</v>
      </c>
      <c r="I450" s="62" t="s">
        <v>56</v>
      </c>
      <c r="J450" s="86">
        <v>2.0602611793353144E-6</v>
      </c>
      <c r="K450" s="86">
        <f>AC435+1*L426</f>
        <v>198.33333333333334</v>
      </c>
      <c r="L450" s="86">
        <f>J450*1.5*((K450-G450)*500/2+(K450-G450)*500)</f>
        <v>0.15220179462339634</v>
      </c>
      <c r="M450" s="62" t="s">
        <v>60</v>
      </c>
      <c r="N450" s="86">
        <v>4.3043171662434282E-6</v>
      </c>
      <c r="O450" s="86">
        <f>AC436+2*L426</f>
        <v>295.33333333333337</v>
      </c>
      <c r="P450" s="86">
        <f>N450*1.5*((O450-K450)*500/2)</f>
        <v>0.15656953692210474</v>
      </c>
    </row>
    <row r="451" spans="1:22" x14ac:dyDescent="0.25">
      <c r="A451" s="86"/>
      <c r="B451" s="86"/>
      <c r="C451" s="86"/>
      <c r="D451" s="86"/>
      <c r="E451" s="86"/>
      <c r="F451" s="86"/>
      <c r="G451" s="89" t="s">
        <v>79</v>
      </c>
      <c r="H451" s="89">
        <f>SUM(H448:H450)</f>
        <v>70759.806903391145</v>
      </c>
      <c r="I451" s="62" t="s">
        <v>52</v>
      </c>
      <c r="J451" s="86">
        <v>0.99908361037087223</v>
      </c>
      <c r="K451" s="86">
        <f>AC435+0*L426</f>
        <v>186.33333333333334</v>
      </c>
      <c r="L451" s="86">
        <f>J451*1.5*((K451-G450)*500/2+(K451-G450)*500)</f>
        <v>60319.672976141403</v>
      </c>
      <c r="M451" s="62" t="s">
        <v>56</v>
      </c>
      <c r="N451" s="86">
        <v>5.3784647104541637E-3</v>
      </c>
      <c r="O451" s="86">
        <f>AC436+1*L426</f>
        <v>283.33333333333337</v>
      </c>
      <c r="P451" s="86">
        <f>N451*1.5*((O451-K451)*500/2)</f>
        <v>195.64165384277027</v>
      </c>
    </row>
    <row r="452" spans="1:22" x14ac:dyDescent="0.25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9" t="s">
        <v>79</v>
      </c>
      <c r="L452" s="89">
        <f>SUM(L448:L451)</f>
        <v>60319.840654143867</v>
      </c>
      <c r="M452" s="62" t="s">
        <v>52</v>
      </c>
      <c r="N452" s="86">
        <v>0.99461723003546765</v>
      </c>
      <c r="O452" s="86">
        <f>AC436+0*L426</f>
        <v>271.33333333333337</v>
      </c>
      <c r="P452" s="86">
        <f>N452*1.5*((O452-K451)*500/2)</f>
        <v>31703.42420738054</v>
      </c>
      <c r="Q452" s="179" t="s">
        <v>80</v>
      </c>
      <c r="R452" s="179"/>
      <c r="S452" s="180">
        <f>D450+H451+L452+P453</f>
        <v>162978.8700220997</v>
      </c>
      <c r="T452" s="180"/>
    </row>
    <row r="453" spans="1:22" x14ac:dyDescent="0.25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9" t="s">
        <v>79</v>
      </c>
      <c r="P453" s="89">
        <f>SUM(P448:P452)</f>
        <v>31899.222464564697</v>
      </c>
      <c r="Q453" s="179"/>
      <c r="R453" s="179"/>
      <c r="S453" s="180"/>
      <c r="T453" s="180"/>
    </row>
    <row r="454" spans="1:22" x14ac:dyDescent="0.25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</row>
    <row r="455" spans="1:22" x14ac:dyDescent="0.25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</row>
    <row r="456" spans="1:22" x14ac:dyDescent="0.25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</row>
    <row r="457" spans="1:22" ht="24.75" thickBot="1" x14ac:dyDescent="0.3">
      <c r="O457" s="131" t="s">
        <v>81</v>
      </c>
      <c r="P457" s="131"/>
      <c r="Q457" s="131">
        <f>(R443+P443+M444+S452)/AC436</f>
        <v>1053.7777692909135</v>
      </c>
      <c r="R457" s="131"/>
    </row>
    <row r="458" spans="1:22" x14ac:dyDescent="0.25">
      <c r="A458" s="181" t="s">
        <v>117</v>
      </c>
      <c r="B458" s="182"/>
    </row>
    <row r="459" spans="1:22" ht="15.75" thickBot="1" x14ac:dyDescent="0.3">
      <c r="A459" s="183"/>
      <c r="B459" s="184"/>
    </row>
    <row r="460" spans="1:22" ht="21" x14ac:dyDescent="0.35">
      <c r="A460" s="185" t="s">
        <v>14</v>
      </c>
      <c r="B460" s="185"/>
      <c r="C460" s="165"/>
      <c r="D460" s="165"/>
      <c r="E460" s="165"/>
      <c r="F460" s="165"/>
      <c r="G460" s="165"/>
      <c r="H460" s="165"/>
      <c r="I460" s="165"/>
      <c r="J460" s="165"/>
      <c r="K460" s="165"/>
      <c r="L460" s="165"/>
      <c r="M460" s="165"/>
      <c r="O460" s="166" t="s">
        <v>72</v>
      </c>
      <c r="P460" s="166"/>
      <c r="Q460" s="166"/>
      <c r="R460" s="166"/>
      <c r="S460" s="166"/>
      <c r="T460" s="166"/>
      <c r="U460" s="166"/>
      <c r="V460" s="166"/>
    </row>
    <row r="461" spans="1:22" ht="36" x14ac:dyDescent="0.25">
      <c r="A461" s="4" t="s">
        <v>15</v>
      </c>
      <c r="B461" s="4" t="s">
        <v>16</v>
      </c>
      <c r="C461" s="4" t="s">
        <v>31</v>
      </c>
      <c r="D461" s="6" t="s">
        <v>17</v>
      </c>
      <c r="E461" s="6" t="s">
        <v>18</v>
      </c>
      <c r="F461" s="6" t="s">
        <v>19</v>
      </c>
      <c r="G461" s="6" t="s">
        <v>20</v>
      </c>
      <c r="H461" s="6" t="s">
        <v>21</v>
      </c>
      <c r="I461" s="6" t="s">
        <v>22</v>
      </c>
      <c r="J461" s="6" t="s">
        <v>23</v>
      </c>
      <c r="K461" s="6" t="s">
        <v>24</v>
      </c>
      <c r="L461" s="6" t="s">
        <v>25</v>
      </c>
      <c r="M461" s="6" t="s">
        <v>26</v>
      </c>
      <c r="N461" s="8"/>
      <c r="O461" s="167" t="s">
        <v>32</v>
      </c>
      <c r="P461" s="167" t="s">
        <v>35</v>
      </c>
      <c r="Q461" s="167" t="s">
        <v>66</v>
      </c>
      <c r="R461" s="99" t="s">
        <v>67</v>
      </c>
      <c r="S461" s="99" t="s">
        <v>68</v>
      </c>
      <c r="T461" s="167" t="s">
        <v>69</v>
      </c>
      <c r="U461" s="71" t="s">
        <v>33</v>
      </c>
      <c r="V461" s="99" t="s">
        <v>70</v>
      </c>
    </row>
    <row r="462" spans="1:22" x14ac:dyDescent="0.25">
      <c r="A462" s="3" t="s">
        <v>27</v>
      </c>
      <c r="B462" s="3">
        <v>0</v>
      </c>
      <c r="C462" s="3">
        <v>0.3</v>
      </c>
      <c r="D462" s="3">
        <v>243</v>
      </c>
      <c r="E462" s="3">
        <v>1.73</v>
      </c>
      <c r="F462" s="3">
        <v>5</v>
      </c>
      <c r="G462" s="169">
        <v>12</v>
      </c>
      <c r="H462" s="3">
        <v>1820</v>
      </c>
      <c r="I462" s="169">
        <v>19645</v>
      </c>
      <c r="J462" s="3">
        <v>20</v>
      </c>
      <c r="K462" s="3">
        <v>40</v>
      </c>
      <c r="L462" s="3">
        <v>500</v>
      </c>
      <c r="M462" s="3">
        <v>1000</v>
      </c>
      <c r="O462" s="168"/>
      <c r="P462" s="168"/>
      <c r="Q462" s="168"/>
      <c r="R462" s="72" t="s">
        <v>71</v>
      </c>
      <c r="S462" s="72" t="s">
        <v>71</v>
      </c>
      <c r="T462" s="168"/>
      <c r="U462" s="73">
        <v>500</v>
      </c>
      <c r="V462" s="3">
        <v>1.5</v>
      </c>
    </row>
    <row r="463" spans="1:22" x14ac:dyDescent="0.25">
      <c r="A463" s="3" t="s">
        <v>28</v>
      </c>
      <c r="B463" s="3">
        <v>0</v>
      </c>
      <c r="C463" s="3">
        <v>0.3</v>
      </c>
      <c r="D463" s="3">
        <v>254</v>
      </c>
      <c r="E463" s="3">
        <v>1.88</v>
      </c>
      <c r="F463" s="3">
        <v>3</v>
      </c>
      <c r="G463" s="170"/>
      <c r="H463" s="3">
        <v>2720</v>
      </c>
      <c r="I463" s="170"/>
      <c r="J463" s="5"/>
      <c r="K463" s="5"/>
      <c r="L463" s="5"/>
      <c r="M463" s="5"/>
      <c r="O463" s="74">
        <v>1</v>
      </c>
      <c r="P463" s="74">
        <v>106</v>
      </c>
      <c r="Q463" s="74">
        <v>110</v>
      </c>
      <c r="R463" s="74">
        <v>6</v>
      </c>
      <c r="S463" s="74">
        <v>5</v>
      </c>
      <c r="T463" s="74">
        <f>R463*$U$5/60+S463</f>
        <v>55</v>
      </c>
      <c r="U463" s="75"/>
    </row>
    <row r="464" spans="1:22" x14ac:dyDescent="0.25">
      <c r="A464" s="3" t="s">
        <v>29</v>
      </c>
      <c r="B464" s="3">
        <v>0</v>
      </c>
      <c r="C464" s="3">
        <v>0.3</v>
      </c>
      <c r="D464" s="3">
        <v>143</v>
      </c>
      <c r="E464" s="3">
        <v>2.4300000000000002</v>
      </c>
      <c r="F464" s="3">
        <v>8</v>
      </c>
      <c r="G464" s="170"/>
      <c r="H464" s="3">
        <v>3700</v>
      </c>
      <c r="I464" s="170"/>
      <c r="J464" s="5"/>
      <c r="K464" s="140" t="s">
        <v>73</v>
      </c>
      <c r="L464" s="141">
        <v>12</v>
      </c>
      <c r="M464" s="140" t="s">
        <v>74</v>
      </c>
      <c r="N464" s="141">
        <v>19645</v>
      </c>
      <c r="O464" s="74">
        <v>2</v>
      </c>
      <c r="P464" s="74">
        <v>76</v>
      </c>
      <c r="Q464" s="74">
        <v>40</v>
      </c>
      <c r="R464" s="74">
        <v>9</v>
      </c>
      <c r="S464" s="74">
        <v>2</v>
      </c>
      <c r="T464" s="74">
        <f t="shared" ref="T464:T466" si="48">R464*$U$5/60+S464</f>
        <v>77</v>
      </c>
      <c r="U464" s="75"/>
    </row>
    <row r="465" spans="1:34" x14ac:dyDescent="0.25">
      <c r="A465" s="3" t="s">
        <v>30</v>
      </c>
      <c r="B465" s="3">
        <v>0</v>
      </c>
      <c r="C465" s="3">
        <v>0.3</v>
      </c>
      <c r="D465" s="3">
        <v>449</v>
      </c>
      <c r="E465" s="3">
        <v>2.5299999999999998</v>
      </c>
      <c r="F465" s="3">
        <v>4</v>
      </c>
      <c r="G465" s="171"/>
      <c r="H465" s="3">
        <v>4320</v>
      </c>
      <c r="I465" s="171"/>
      <c r="J465" s="5"/>
      <c r="K465" s="140"/>
      <c r="L465" s="141"/>
      <c r="M465" s="140"/>
      <c r="N465" s="141"/>
      <c r="O465" s="74">
        <v>3</v>
      </c>
      <c r="P465" s="74">
        <v>95</v>
      </c>
      <c r="Q465" s="74">
        <v>67</v>
      </c>
      <c r="R465" s="74">
        <v>5</v>
      </c>
      <c r="S465" s="74">
        <v>4</v>
      </c>
      <c r="T465" s="74">
        <f t="shared" si="48"/>
        <v>45.666666666666664</v>
      </c>
      <c r="U465" s="75"/>
    </row>
    <row r="466" spans="1:34" ht="15.75" thickBo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O466" s="74">
        <v>4</v>
      </c>
      <c r="P466" s="74">
        <v>140</v>
      </c>
      <c r="Q466" s="94">
        <v>85</v>
      </c>
      <c r="R466" s="94">
        <v>8</v>
      </c>
      <c r="S466" s="94">
        <v>3</v>
      </c>
      <c r="T466" s="74">
        <f t="shared" si="48"/>
        <v>69.666666666666671</v>
      </c>
    </row>
    <row r="467" spans="1:34" x14ac:dyDescent="0.25">
      <c r="A467" s="142" t="s">
        <v>36</v>
      </c>
      <c r="B467" s="144" t="s">
        <v>106</v>
      </c>
      <c r="C467" s="144"/>
      <c r="D467" s="144"/>
      <c r="E467" s="144"/>
      <c r="F467" s="20" t="s">
        <v>27</v>
      </c>
      <c r="G467" s="20" t="s">
        <v>28</v>
      </c>
      <c r="H467" s="20" t="s">
        <v>29</v>
      </c>
      <c r="I467" s="20" t="s">
        <v>30</v>
      </c>
    </row>
    <row r="468" spans="1:34" ht="15.75" thickBot="1" x14ac:dyDescent="0.3">
      <c r="A468" s="143"/>
      <c r="B468" s="145"/>
      <c r="C468" s="145"/>
      <c r="D468" s="145"/>
      <c r="E468" s="145"/>
      <c r="F468" s="20">
        <v>126</v>
      </c>
      <c r="G468" s="26">
        <v>91</v>
      </c>
      <c r="H468" s="26">
        <v>67</v>
      </c>
      <c r="I468" s="26">
        <v>201</v>
      </c>
    </row>
    <row r="469" spans="1:34" ht="15.75" thickBot="1" x14ac:dyDescent="0.3">
      <c r="A469" s="143"/>
      <c r="B469" s="145"/>
      <c r="C469" s="145"/>
      <c r="D469" s="145"/>
      <c r="E469" s="145"/>
      <c r="F469" s="7"/>
      <c r="G469" s="146" t="s">
        <v>27</v>
      </c>
      <c r="H469" s="147"/>
      <c r="I469" s="147"/>
      <c r="J469" s="147"/>
      <c r="K469" s="148"/>
      <c r="L469" s="149" t="s">
        <v>28</v>
      </c>
      <c r="M469" s="150"/>
      <c r="N469" s="150"/>
      <c r="O469" s="150"/>
      <c r="P469" s="151"/>
      <c r="Q469" s="152" t="s">
        <v>29</v>
      </c>
      <c r="R469" s="153"/>
      <c r="S469" s="153"/>
      <c r="T469" s="153"/>
      <c r="U469" s="154"/>
      <c r="V469" s="155" t="s">
        <v>30</v>
      </c>
      <c r="W469" s="156"/>
      <c r="X469" s="156"/>
      <c r="Y469" s="156"/>
      <c r="Z469" s="157"/>
      <c r="AA469" s="158" t="s">
        <v>42</v>
      </c>
      <c r="AB469" s="159"/>
      <c r="AC469" s="160" t="s">
        <v>44</v>
      </c>
      <c r="AD469" s="162" t="s">
        <v>47</v>
      </c>
      <c r="AE469" s="163"/>
      <c r="AF469" s="163"/>
      <c r="AG469" s="164"/>
      <c r="AH469" s="138" t="s">
        <v>62</v>
      </c>
    </row>
    <row r="470" spans="1:34" ht="36.75" x14ac:dyDescent="0.25">
      <c r="A470" s="21" t="s">
        <v>32</v>
      </c>
      <c r="B470" s="22" t="s">
        <v>37</v>
      </c>
      <c r="C470" s="23" t="s">
        <v>33</v>
      </c>
      <c r="D470" s="22" t="s">
        <v>38</v>
      </c>
      <c r="E470" s="22" t="s">
        <v>34</v>
      </c>
      <c r="F470" s="25" t="s">
        <v>35</v>
      </c>
      <c r="G470" s="27" t="s">
        <v>39</v>
      </c>
      <c r="H470" s="10" t="s">
        <v>40</v>
      </c>
      <c r="I470" s="10" t="s">
        <v>45</v>
      </c>
      <c r="J470" s="10" t="s">
        <v>46</v>
      </c>
      <c r="K470" s="28" t="s">
        <v>41</v>
      </c>
      <c r="L470" s="30" t="s">
        <v>39</v>
      </c>
      <c r="M470" s="13" t="s">
        <v>40</v>
      </c>
      <c r="N470" s="13" t="s">
        <v>45</v>
      </c>
      <c r="O470" s="13" t="s">
        <v>46</v>
      </c>
      <c r="P470" s="31" t="s">
        <v>41</v>
      </c>
      <c r="Q470" s="33" t="s">
        <v>39</v>
      </c>
      <c r="R470" s="12" t="s">
        <v>40</v>
      </c>
      <c r="S470" s="12" t="s">
        <v>45</v>
      </c>
      <c r="T470" s="12" t="s">
        <v>46</v>
      </c>
      <c r="U470" s="34" t="s">
        <v>41</v>
      </c>
      <c r="V470" s="36" t="s">
        <v>39</v>
      </c>
      <c r="W470" s="11" t="s">
        <v>40</v>
      </c>
      <c r="X470" s="11" t="s">
        <v>45</v>
      </c>
      <c r="Y470" s="11" t="s">
        <v>46</v>
      </c>
      <c r="Z470" s="37" t="s">
        <v>41</v>
      </c>
      <c r="AA470" s="39" t="s">
        <v>41</v>
      </c>
      <c r="AB470" s="40" t="s">
        <v>43</v>
      </c>
      <c r="AC470" s="161"/>
      <c r="AD470" s="43" t="s">
        <v>27</v>
      </c>
      <c r="AE470" s="1" t="s">
        <v>28</v>
      </c>
      <c r="AF470" s="1" t="s">
        <v>29</v>
      </c>
      <c r="AG470" s="1" t="s">
        <v>30</v>
      </c>
      <c r="AH470" s="139"/>
    </row>
    <row r="471" spans="1:34" x14ac:dyDescent="0.25">
      <c r="A471" s="24">
        <v>2</v>
      </c>
      <c r="B471" s="9">
        <v>9</v>
      </c>
      <c r="C471" s="9">
        <v>500</v>
      </c>
      <c r="D471" s="9">
        <v>2</v>
      </c>
      <c r="E471" s="48">
        <f>B471*C471/60+D471</f>
        <v>77</v>
      </c>
      <c r="F471" s="100">
        <v>76</v>
      </c>
      <c r="G471" s="49">
        <f>B$5*(1-AD471*C$5)</f>
        <v>0</v>
      </c>
      <c r="H471" s="50">
        <f>G471+E471</f>
        <v>77</v>
      </c>
      <c r="I471" s="15">
        <f>(H471/D$5)^E$5</f>
        <v>0.13693992990275231</v>
      </c>
      <c r="J471" s="15">
        <f>(G471/D$5)^E$5</f>
        <v>0</v>
      </c>
      <c r="K471" s="29">
        <f>1-EXP(J471-I471)</f>
        <v>0.1279773929583623</v>
      </c>
      <c r="L471" s="51">
        <f>B$6*(1-AE471*C$6)</f>
        <v>0</v>
      </c>
      <c r="M471" s="52">
        <f>L471+E471</f>
        <v>77</v>
      </c>
      <c r="N471" s="17">
        <f>(M471/D$6)^E$6</f>
        <v>0.10605109964467559</v>
      </c>
      <c r="O471" s="17">
        <f>(L471/D$6)^E$6</f>
        <v>0</v>
      </c>
      <c r="P471" s="32">
        <f>1-EXP(O471-N471)</f>
        <v>0.10062131102974814</v>
      </c>
      <c r="Q471" s="53">
        <f>B$7*(1-AF471*C$7)</f>
        <v>0</v>
      </c>
      <c r="R471" s="54">
        <f>Q471+E471</f>
        <v>77</v>
      </c>
      <c r="S471" s="16">
        <f>(R471/D$7)^E$7</f>
        <v>0.2221804751105394</v>
      </c>
      <c r="T471" s="16">
        <f>(Q471/D$7)^E$7</f>
        <v>0</v>
      </c>
      <c r="U471" s="35">
        <f>1-EXP(T471-S471)</f>
        <v>0.19922916791162293</v>
      </c>
      <c r="V471" s="55">
        <f>B$8*(1-AG471*C$8)</f>
        <v>0</v>
      </c>
      <c r="W471" s="56">
        <f>V471+E471</f>
        <v>77</v>
      </c>
      <c r="X471" s="18">
        <f>(W471/D$8)^E$8</f>
        <v>1.1551497592884551E-2</v>
      </c>
      <c r="Y471" s="18">
        <f>(V471/D$8)^E$8</f>
        <v>0</v>
      </c>
      <c r="Z471" s="38">
        <f>1-EXP(Y471-X471)</f>
        <v>1.1485035204098715E-2</v>
      </c>
      <c r="AA471" s="41">
        <f>K471*P471*U471*Z471</f>
        <v>2.9465138194053318E-5</v>
      </c>
      <c r="AB471" s="42">
        <f>1-AA471</f>
        <v>0.99997053486180598</v>
      </c>
      <c r="AC471" s="47">
        <f>(AD471*F$5+AE471*F$6+AF471*F$7+AG471*F$8)+E471</f>
        <v>77</v>
      </c>
      <c r="AD471" s="43">
        <v>0</v>
      </c>
      <c r="AE471" s="1">
        <v>0</v>
      </c>
      <c r="AF471" s="1">
        <v>0</v>
      </c>
      <c r="AG471" s="1">
        <v>0</v>
      </c>
      <c r="AH471" s="74">
        <v>40</v>
      </c>
    </row>
    <row r="472" spans="1:34" x14ac:dyDescent="0.25">
      <c r="A472" s="76">
        <v>1</v>
      </c>
      <c r="B472" s="58">
        <v>6</v>
      </c>
      <c r="C472" s="9">
        <v>500</v>
      </c>
      <c r="D472" s="58">
        <v>5</v>
      </c>
      <c r="E472" s="48">
        <f t="shared" ref="E472:E474" si="49">B472*C472/60+D472</f>
        <v>55</v>
      </c>
      <c r="F472" s="100">
        <v>106</v>
      </c>
      <c r="G472" s="49">
        <f>H471*(1-AD472*C$5)</f>
        <v>77</v>
      </c>
      <c r="H472" s="50">
        <f>G472+E472</f>
        <v>132</v>
      </c>
      <c r="I472" s="15">
        <f>(H472/D$5)^E$5</f>
        <v>0.34793173894508389</v>
      </c>
      <c r="J472" s="15">
        <f>(G472/D$5)^E$5</f>
        <v>0.13693992990275231</v>
      </c>
      <c r="K472" s="29">
        <f>1-EXP(J472-I472)</f>
        <v>0.19021930026645628</v>
      </c>
      <c r="L472" s="51">
        <f>M471*(1-AE472*C$6)</f>
        <v>77</v>
      </c>
      <c r="M472" s="52">
        <f>L472+E472</f>
        <v>132</v>
      </c>
      <c r="N472" s="17">
        <f>(M472/D$6)^E$6</f>
        <v>0.29214038913862722</v>
      </c>
      <c r="O472" s="17">
        <f>(L472/D$6)^E$6</f>
        <v>0.10605109964467559</v>
      </c>
      <c r="P472" s="32">
        <f>1-EXP(O472-N472)</f>
        <v>0.16980053641757786</v>
      </c>
      <c r="Q472" s="53">
        <f>R471*(1-AF472*C$7)</f>
        <v>53.9</v>
      </c>
      <c r="R472" s="54">
        <f>Q472+E472</f>
        <v>108.9</v>
      </c>
      <c r="S472" s="16">
        <f>(R472/D$7)^E$7</f>
        <v>0.51583544016164296</v>
      </c>
      <c r="T472" s="16">
        <f>(Q472/D$7)^E$7</f>
        <v>9.3388656656360772E-2</v>
      </c>
      <c r="U472" s="35">
        <f>1-EXP(T472-S472)</f>
        <v>0.34455886632161792</v>
      </c>
      <c r="V472" s="55">
        <f>W471*(1-AG472*C$8)</f>
        <v>77</v>
      </c>
      <c r="W472" s="56">
        <f>V472+E472</f>
        <v>132</v>
      </c>
      <c r="X472" s="18">
        <f>(W472/D$8)^E$8</f>
        <v>4.5171946303006208E-2</v>
      </c>
      <c r="Y472" s="18">
        <f>(V472/D$8)^E$8</f>
        <v>1.1551497592884551E-2</v>
      </c>
      <c r="Z472" s="38">
        <f>1-EXP(Y472-X472)</f>
        <v>3.3061562270589318E-2</v>
      </c>
      <c r="AA472" s="41">
        <f>K472*P472*U472*Z472</f>
        <v>3.6794291024515129E-4</v>
      </c>
      <c r="AB472" s="42">
        <f>1-AA472</f>
        <v>0.99963205708975489</v>
      </c>
      <c r="AC472" s="47">
        <f>AF472*F$7+E472+AC471</f>
        <v>140</v>
      </c>
      <c r="AD472" s="43">
        <v>0</v>
      </c>
      <c r="AE472" s="1">
        <v>0</v>
      </c>
      <c r="AF472" s="1">
        <v>1</v>
      </c>
      <c r="AG472" s="1">
        <v>0</v>
      </c>
      <c r="AH472" s="74">
        <v>110</v>
      </c>
    </row>
    <row r="473" spans="1:34" x14ac:dyDescent="0.25">
      <c r="A473" s="24">
        <v>3</v>
      </c>
      <c r="B473" s="9">
        <v>5</v>
      </c>
      <c r="C473" s="58">
        <v>500</v>
      </c>
      <c r="D473" s="58">
        <v>4</v>
      </c>
      <c r="E473" s="48">
        <f t="shared" si="49"/>
        <v>45.666666666666664</v>
      </c>
      <c r="F473" s="100">
        <v>95</v>
      </c>
      <c r="G473" s="68">
        <f>H472*(1-AD473*C$5)</f>
        <v>92.399999999999991</v>
      </c>
      <c r="H473" s="69">
        <f>G473+E473</f>
        <v>138.06666666666666</v>
      </c>
      <c r="I473" s="70">
        <f>(H473/D$5)^E$5</f>
        <v>0.37605800658011651</v>
      </c>
      <c r="J473" s="70">
        <f>(G473/D$5)^E$5</f>
        <v>0.18772134485664987</v>
      </c>
      <c r="K473" s="29">
        <f>1-EXP(J473-I473)</f>
        <v>0.17166420866995746</v>
      </c>
      <c r="L473" s="51">
        <f>M472*(1-AE473*C$6)</f>
        <v>92.399999999999991</v>
      </c>
      <c r="M473" s="52">
        <f>L473+E473</f>
        <v>138.06666666666666</v>
      </c>
      <c r="N473" s="17">
        <f>(M473/D$6)^E$6</f>
        <v>0.31789202412323359</v>
      </c>
      <c r="O473" s="17">
        <f>(L473/D$6)^E$6</f>
        <v>0.14940871089337018</v>
      </c>
      <c r="P473" s="32">
        <f>1-EXP(O473-N473)</f>
        <v>0.15505463728965418</v>
      </c>
      <c r="Q473" s="53">
        <f>R472*(1-AF473*C$7)</f>
        <v>76.23</v>
      </c>
      <c r="R473" s="54">
        <f>Q473+E473</f>
        <v>121.89666666666668</v>
      </c>
      <c r="S473" s="16">
        <f>(R473/D$7)^E$7</f>
        <v>0.67841208432484257</v>
      </c>
      <c r="T473" s="16">
        <f>(Q473/D$7)^E$7</f>
        <v>0.21682003690230314</v>
      </c>
      <c r="U473" s="35">
        <f>1-EXP(T473-S473)</f>
        <v>0.36972058838769073</v>
      </c>
      <c r="V473" s="55">
        <f>W472*(1-AG473*C$8)</f>
        <v>132</v>
      </c>
      <c r="W473" s="56">
        <f>V473+E473</f>
        <v>177.66666666666666</v>
      </c>
      <c r="X473" s="18">
        <f>(W473/D$8)^E$8</f>
        <v>9.5789922449281015E-2</v>
      </c>
      <c r="Y473" s="18">
        <f>(V473/D$8)^E$8</f>
        <v>4.5171946303006208E-2</v>
      </c>
      <c r="Z473" s="38">
        <f>1-EXP(Y473-X473)</f>
        <v>4.9358230996020658E-2</v>
      </c>
      <c r="AA473" s="41">
        <f>K473*P473*U473*Z473</f>
        <v>4.8573314217756098E-4</v>
      </c>
      <c r="AB473" s="42">
        <f>1-AA473</f>
        <v>0.99951426685782241</v>
      </c>
      <c r="AC473" s="47">
        <f>(AF473*F$7)+E473+AC472</f>
        <v>193.66666666666666</v>
      </c>
      <c r="AD473" s="77">
        <v>1</v>
      </c>
      <c r="AE473" s="78">
        <v>1</v>
      </c>
      <c r="AF473" s="78">
        <v>1</v>
      </c>
      <c r="AG473" s="78">
        <v>0</v>
      </c>
      <c r="AH473" s="74">
        <v>67</v>
      </c>
    </row>
    <row r="474" spans="1:34" ht="15.75" thickBot="1" x14ac:dyDescent="0.3">
      <c r="A474" s="57">
        <v>4</v>
      </c>
      <c r="B474" s="58">
        <v>8</v>
      </c>
      <c r="C474" s="58">
        <v>500</v>
      </c>
      <c r="D474" s="9">
        <v>3</v>
      </c>
      <c r="E474" s="48">
        <f t="shared" si="49"/>
        <v>69.666666666666671</v>
      </c>
      <c r="F474" s="100">
        <v>140</v>
      </c>
      <c r="G474" s="68">
        <f>H473*(1-AD474*C$5)</f>
        <v>96.646666666666661</v>
      </c>
      <c r="H474" s="69">
        <f>G474+E474</f>
        <v>166.31333333333333</v>
      </c>
      <c r="I474" s="70">
        <f>(H474/D$5)^E$5</f>
        <v>0.51892545440479432</v>
      </c>
      <c r="J474" s="70">
        <f>(G474/D$5)^E$5</f>
        <v>0.20289645018695066</v>
      </c>
      <c r="K474" s="29">
        <f>1-EXP(J474-I474)</f>
        <v>0.27096169532483416</v>
      </c>
      <c r="L474" s="51">
        <f>M473*(1-AE474*C$6)</f>
        <v>96.646666666666661</v>
      </c>
      <c r="M474" s="52">
        <f>L474+E474</f>
        <v>166.31333333333333</v>
      </c>
      <c r="N474" s="17">
        <f>(M474/D$6)^E$6</f>
        <v>0.45108200336097515</v>
      </c>
      <c r="O474" s="17">
        <f>(L474/D$6)^E$6</f>
        <v>0.16257881242500377</v>
      </c>
      <c r="P474" s="32">
        <f>1-EXP(O474-N474)</f>
        <v>0.25061558609399515</v>
      </c>
      <c r="Q474" s="53">
        <f>R473*(1-AF474*C$7)</f>
        <v>85.327666666666673</v>
      </c>
      <c r="R474" s="54">
        <f>Q474+E474</f>
        <v>154.99433333333334</v>
      </c>
      <c r="S474" s="16">
        <f>(R474/D$7)^E$7</f>
        <v>1.2161884443849278</v>
      </c>
      <c r="T474" s="16">
        <f>(Q474/D$7)^E$7</f>
        <v>0.28515553935609261</v>
      </c>
      <c r="U474" s="35">
        <f>1-EXP(T474-S474)</f>
        <v>0.60585361573917873</v>
      </c>
      <c r="V474" s="55">
        <f>W473*(1-AG474*C$8)</f>
        <v>124.36666666666665</v>
      </c>
      <c r="W474" s="56">
        <f>V474+E474</f>
        <v>194.0333333333333</v>
      </c>
      <c r="X474" s="18">
        <f>(W474/D$8)^E$8</f>
        <v>0.11971371522436358</v>
      </c>
      <c r="Y474" s="18">
        <f>(V474/D$8)^E$8</f>
        <v>3.8852401036237806E-2</v>
      </c>
      <c r="Z474" s="38">
        <f>1-EXP(Y474-X474)</f>
        <v>7.7678404505555187E-2</v>
      </c>
      <c r="AA474" s="41">
        <f>K474*P474*U474*Z474</f>
        <v>3.1958322756505857E-3</v>
      </c>
      <c r="AB474" s="42">
        <f>1-AA474</f>
        <v>0.99680416772434943</v>
      </c>
      <c r="AC474" s="47">
        <f>(AF474*F$7)+E474+AC473</f>
        <v>271.33333333333331</v>
      </c>
      <c r="AD474" s="80">
        <v>1</v>
      </c>
      <c r="AE474" s="45">
        <v>1</v>
      </c>
      <c r="AF474" s="81">
        <v>1</v>
      </c>
      <c r="AG474" s="45">
        <v>1</v>
      </c>
      <c r="AH474" s="94">
        <v>85</v>
      </c>
    </row>
    <row r="475" spans="1:34" ht="18.75" x14ac:dyDescent="0.3">
      <c r="A475" s="132" t="s">
        <v>53</v>
      </c>
      <c r="B475" s="132"/>
      <c r="C475" s="132"/>
      <c r="D475" s="132"/>
      <c r="E475" s="132"/>
      <c r="F475" s="132"/>
      <c r="G475" s="132"/>
      <c r="H475" s="132"/>
      <c r="I475" s="132"/>
      <c r="J475" s="132"/>
      <c r="AG475" s="46"/>
    </row>
    <row r="476" spans="1:34" ht="15.75" x14ac:dyDescent="0.25">
      <c r="A476" s="19" t="s">
        <v>48</v>
      </c>
      <c r="B476" s="60" t="s">
        <v>49</v>
      </c>
      <c r="C476" s="61" t="s">
        <v>50</v>
      </c>
      <c r="D476" s="19" t="s">
        <v>58</v>
      </c>
      <c r="E476" s="60" t="s">
        <v>57</v>
      </c>
      <c r="F476" s="61" t="s">
        <v>50</v>
      </c>
      <c r="G476" s="19" t="s">
        <v>54</v>
      </c>
      <c r="H476" s="60" t="s">
        <v>61</v>
      </c>
      <c r="I476" s="61" t="s">
        <v>50</v>
      </c>
      <c r="J476" s="19" t="s">
        <v>82</v>
      </c>
      <c r="K476" s="83" t="s">
        <v>84</v>
      </c>
      <c r="L476" s="61" t="s">
        <v>50</v>
      </c>
      <c r="M476" s="61" t="s">
        <v>85</v>
      </c>
      <c r="O476" s="174" t="s">
        <v>64</v>
      </c>
      <c r="P476" s="174"/>
      <c r="Q476" s="175" t="s">
        <v>109</v>
      </c>
      <c r="R476" s="175"/>
    </row>
    <row r="477" spans="1:34" ht="24.75" x14ac:dyDescent="0.25">
      <c r="A477" s="61" t="s">
        <v>51</v>
      </c>
      <c r="B477" s="1">
        <f>AA471</f>
        <v>2.9465138194053318E-5</v>
      </c>
      <c r="C477" s="59">
        <f>MAX(AC471+1*L464-F471,0)</f>
        <v>13</v>
      </c>
      <c r="D477" s="62" t="s">
        <v>55</v>
      </c>
      <c r="E477" s="1">
        <f>AA471*AA472</f>
        <v>1.084148869789554E-8</v>
      </c>
      <c r="F477" s="1">
        <f>MAX(AC472+2*L464-F472,0)</f>
        <v>58</v>
      </c>
      <c r="G477" s="62" t="s">
        <v>59</v>
      </c>
      <c r="H477" s="1">
        <f>AA471*AA472*AA473</f>
        <v>5.2660703711113147E-12</v>
      </c>
      <c r="I477" s="1">
        <f>AC473+3*L464-F473</f>
        <v>134.66666666666666</v>
      </c>
      <c r="J477" s="62" t="s">
        <v>83</v>
      </c>
      <c r="K477" s="1">
        <f>AA471*AA472*AA473*AA474</f>
        <v>1.6829477657844796E-14</v>
      </c>
      <c r="L477" s="1">
        <f>AC474+4*L464-F474</f>
        <v>179.33333333333331</v>
      </c>
      <c r="M477" s="1">
        <f>B477*C477*AH471+E477*F477*AH472+H477*I477*AH473+K477*L477*AH474</f>
        <v>1.5391088329335237E-2</v>
      </c>
      <c r="O477" s="1" t="s">
        <v>27</v>
      </c>
      <c r="P477" s="1">
        <f>2*H462</f>
        <v>3640</v>
      </c>
      <c r="Q477" s="1">
        <f>(K471*(1-P471)*(1-U471)*(1-Z471))+(P471*(1-K471)*(1-U471)*(1-Z471))+(U471*(1-K471)*(1-P471)*(1-Z471))+(Z471*(1-K471)*(1-P471)*(1-U471))</f>
        <v>0.32223571239848364</v>
      </c>
      <c r="R477" s="1">
        <f>Q477*(L$7*(J$5*K$5+L$5)+I$5)</f>
        <v>11357.197683484555</v>
      </c>
    </row>
    <row r="478" spans="1:34" ht="24.75" x14ac:dyDescent="0.25">
      <c r="A478" s="62" t="s">
        <v>52</v>
      </c>
      <c r="B478" s="1">
        <f>AB471</f>
        <v>0.99997053486180598</v>
      </c>
      <c r="C478" s="59">
        <f>MAX(AC471-F471,0)</f>
        <v>1</v>
      </c>
      <c r="D478" s="62" t="s">
        <v>56</v>
      </c>
      <c r="E478" s="1">
        <f>AA471*AB472+AA472*AB471</f>
        <v>3.9738636546180883E-4</v>
      </c>
      <c r="F478" s="1">
        <f>MAX(AC472+1*L464-F472,0)</f>
        <v>46</v>
      </c>
      <c r="G478" s="62" t="s">
        <v>60</v>
      </c>
      <c r="H478" s="1">
        <f>AA471*AA472*AB473+AA472*AA473*AB471+AA471*AA473*AB472</f>
        <v>2.0385995058180941E-7</v>
      </c>
      <c r="I478" s="1">
        <f>AC473+2*L464-F473</f>
        <v>122.66666666666666</v>
      </c>
      <c r="J478" s="62" t="s">
        <v>59</v>
      </c>
      <c r="K478">
        <f>AB471*AA472*AA473*AA474+AB472*AA471*AA473*AA474*+AB473*AA471*AA472*AA474+AB474*AA471*AA472*AA473</f>
        <v>5.7639815810447041E-10</v>
      </c>
      <c r="L478" s="1">
        <f>AC474+3*L464-F474</f>
        <v>167.33333333333331</v>
      </c>
      <c r="M478" s="1">
        <f>B478*C478*AH471+E478*F478*AH472+H478*I478*AH473+K478*L478*AH474</f>
        <v>42.011280058992639</v>
      </c>
      <c r="O478" s="1" t="s">
        <v>28</v>
      </c>
      <c r="P478" s="1">
        <f>2*H463</f>
        <v>5440</v>
      </c>
      <c r="Q478" s="1">
        <f t="shared" ref="Q478:Q480" si="50">(K472*(1-P472)*(1-U472)*(1-Z472))+(P472*(1-K472)*(1-U472)*(1-Z472))+(U472*(1-K472)*(1-P472)*(1-Z472))+(Z472*(1-K472)*(1-P472)*(1-U472))</f>
        <v>0.42577915194755084</v>
      </c>
      <c r="R478" s="1">
        <f t="shared" ref="R478:R480" si="51">Q478*(L$7*(J$5*K$5+L$5)+I$5)</f>
        <v>15006.58621039143</v>
      </c>
    </row>
    <row r="479" spans="1:34" ht="24.75" x14ac:dyDescent="0.25">
      <c r="A479" s="1"/>
      <c r="B479" s="1"/>
      <c r="C479" s="1"/>
      <c r="D479" s="62" t="s">
        <v>52</v>
      </c>
      <c r="E479" s="1">
        <f>AB471*AB472</f>
        <v>0.99960260279304958</v>
      </c>
      <c r="F479" s="59">
        <f>MAX(AC472-F472,0)</f>
        <v>34</v>
      </c>
      <c r="G479" s="62" t="s">
        <v>56</v>
      </c>
      <c r="H479" s="1">
        <f>AA471*AB472*AB473+AA472*AB471*AB473*+AA473*AB471*AB472</f>
        <v>2.9618548781398728E-5</v>
      </c>
      <c r="I479" s="1">
        <f>AC473+1*L464-F473</f>
        <v>110.66666666666666</v>
      </c>
      <c r="J479" s="62" t="s">
        <v>60</v>
      </c>
      <c r="K479" s="1">
        <f>AA471*AA472*AB473*AB474 + AA471*AA473*AB472*AB474 + AA471*AA474*AB472*AB473 + AA472*AA473*AB471*AB474 + AA472*AA474*AB471*AB473 + AA473*AA474*AB471*AB472</f>
        <v>3.0242765143935765E-6</v>
      </c>
      <c r="L479" s="1">
        <f>AC474+2*L464-F474</f>
        <v>155.33333333333331</v>
      </c>
      <c r="M479" s="1">
        <f>B479*C479*AH471+E479*F479*AH472+H479*I479*AH473+K479*L479*AH474</f>
        <v>3738.7732766432814</v>
      </c>
      <c r="O479" s="1" t="s">
        <v>29</v>
      </c>
      <c r="P479" s="1">
        <f>3*(F464*(J462*K462+L462)+H464)</f>
        <v>42300</v>
      </c>
      <c r="Q479" s="1">
        <f t="shared" si="50"/>
        <v>0.43163158013392089</v>
      </c>
      <c r="R479" s="1">
        <f t="shared" si="51"/>
        <v>15212.855041820041</v>
      </c>
    </row>
    <row r="480" spans="1:34" ht="24.75" x14ac:dyDescent="0.25">
      <c r="A480" s="1"/>
      <c r="B480" s="1"/>
      <c r="C480" s="1"/>
      <c r="D480" s="1"/>
      <c r="E480" s="1"/>
      <c r="F480" s="1"/>
      <c r="G480" s="62" t="s">
        <v>52</v>
      </c>
      <c r="H480" s="1">
        <f>AB471*AB472*AB473</f>
        <v>0.999117062679866</v>
      </c>
      <c r="I480" s="63">
        <f>AC473-F473</f>
        <v>98.666666666666657</v>
      </c>
      <c r="J480" s="62" t="s">
        <v>56</v>
      </c>
      <c r="K480" s="1">
        <f>AA471*AB472*AB473*AB474+AA472*AB471*AB473*AB474+AA473*AB471*AB472*AB474+AA474*AB471*AB472*AB473</f>
        <v>4.0729229429168944E-3</v>
      </c>
      <c r="L480" s="1">
        <f>AC474+1*L464-F474</f>
        <v>143.33333333333331</v>
      </c>
      <c r="M480" s="1">
        <f>B480*C480*AH471+E480*F480*AH472+H480*I480*AH473+K480*L480*AH474</f>
        <v>6654.4516402102381</v>
      </c>
      <c r="O480" s="1" t="s">
        <v>30</v>
      </c>
      <c r="P480" s="1">
        <f>1*H465</f>
        <v>4320</v>
      </c>
      <c r="Q480" s="1">
        <f t="shared" si="50"/>
        <v>0.4622477870825058</v>
      </c>
      <c r="R480" s="1">
        <f t="shared" si="51"/>
        <v>16291.923255722917</v>
      </c>
    </row>
    <row r="481" spans="1:20" ht="30" x14ac:dyDescent="0.25">
      <c r="I481" s="84"/>
      <c r="J481" s="62" t="s">
        <v>52</v>
      </c>
      <c r="K481" s="85">
        <f>AB471*AB472*AB473*AB474</f>
        <v>0.99592405212380053</v>
      </c>
      <c r="L481" s="1">
        <f>AC474+0*L464-F474</f>
        <v>131.33333333333331</v>
      </c>
      <c r="M481" s="1">
        <f>B481*C481*AH471+E481*F481*AH472+H481*I481*AH473+K481*L481*AH474</f>
        <v>11117.832168542027</v>
      </c>
      <c r="O481" s="64" t="s">
        <v>65</v>
      </c>
      <c r="P481" s="65">
        <f>SUM(P477:P480)</f>
        <v>55700</v>
      </c>
      <c r="Q481" s="96" t="s">
        <v>108</v>
      </c>
      <c r="R481" s="97">
        <f>SUM(R477:R480)</f>
        <v>57868.562191418947</v>
      </c>
    </row>
    <row r="482" spans="1:20" x14ac:dyDescent="0.25">
      <c r="L482" s="176" t="s">
        <v>63</v>
      </c>
      <c r="M482" s="177">
        <f>SUM(M477:M481)</f>
        <v>21553.083756542866</v>
      </c>
    </row>
    <row r="483" spans="1:20" x14ac:dyDescent="0.25">
      <c r="L483" s="176"/>
      <c r="M483" s="177"/>
    </row>
    <row r="484" spans="1:20" x14ac:dyDescent="0.25">
      <c r="A484" s="178" t="s">
        <v>90</v>
      </c>
      <c r="B484" s="178"/>
      <c r="C484" s="178"/>
      <c r="D484" s="178"/>
      <c r="E484" s="178"/>
      <c r="F484" s="178"/>
      <c r="G484" s="178"/>
      <c r="H484" s="178"/>
      <c r="I484" s="178"/>
      <c r="J484" s="178"/>
      <c r="K484" s="178"/>
      <c r="L484" s="178"/>
      <c r="M484" s="178"/>
      <c r="N484" s="178"/>
    </row>
    <row r="485" spans="1:20" ht="15.75" x14ac:dyDescent="0.25">
      <c r="A485" s="87" t="s">
        <v>75</v>
      </c>
      <c r="B485" s="62" t="s">
        <v>49</v>
      </c>
      <c r="C485" s="90" t="s">
        <v>87</v>
      </c>
      <c r="D485" s="62" t="s">
        <v>88</v>
      </c>
      <c r="E485" s="87" t="s">
        <v>77</v>
      </c>
      <c r="F485" s="62" t="s">
        <v>57</v>
      </c>
      <c r="G485" s="90" t="s">
        <v>78</v>
      </c>
      <c r="H485" s="62" t="s">
        <v>88</v>
      </c>
      <c r="I485" s="87" t="s">
        <v>76</v>
      </c>
      <c r="J485" s="62" t="s">
        <v>61</v>
      </c>
      <c r="K485" s="90" t="s">
        <v>102</v>
      </c>
      <c r="L485" s="62" t="s">
        <v>88</v>
      </c>
      <c r="M485" s="87" t="s">
        <v>86</v>
      </c>
      <c r="N485" s="62" t="s">
        <v>84</v>
      </c>
      <c r="O485" s="90" t="s">
        <v>103</v>
      </c>
      <c r="P485" s="62" t="s">
        <v>88</v>
      </c>
    </row>
    <row r="486" spans="1:20" ht="24.75" x14ac:dyDescent="0.25">
      <c r="A486" s="62" t="s">
        <v>51</v>
      </c>
      <c r="B486" s="86">
        <v>2.9465138194053318E-5</v>
      </c>
      <c r="C486" s="86">
        <f>AC471+1*L464</f>
        <v>89</v>
      </c>
      <c r="D486" s="86">
        <f>MAX(B486*1.5*((C486-F471)*500/2),0)</f>
        <v>0.14364254869600993</v>
      </c>
      <c r="E486" s="62" t="s">
        <v>55</v>
      </c>
      <c r="F486" s="86">
        <v>1.084148869789554E-8</v>
      </c>
      <c r="G486" s="86">
        <f>AC472+2*L464</f>
        <v>164</v>
      </c>
      <c r="H486" s="86">
        <f>F486*1.5*((G486-F472)*500/2+(G486-F473)*500+(G486-F474)*500)</f>
        <v>9.9199621585744193E-4</v>
      </c>
      <c r="I486" s="62" t="s">
        <v>59</v>
      </c>
      <c r="J486" s="86">
        <v>5.2660703711113147E-12</v>
      </c>
      <c r="K486" s="86">
        <f>AC473+3*L464</f>
        <v>229.66666666666666</v>
      </c>
      <c r="L486" s="86">
        <f>J486*1.5*((K486-G486)*500/2+(K486-G486)*500)</f>
        <v>3.8903094866584829E-7</v>
      </c>
      <c r="M486" s="62" t="s">
        <v>83</v>
      </c>
      <c r="N486" s="86">
        <v>1.6829477657844796E-14</v>
      </c>
      <c r="O486" s="86">
        <f>AC474+4*L464</f>
        <v>319.33333333333331</v>
      </c>
      <c r="P486" s="86">
        <f>N486*1.5*((O486-K486)*500/2)</f>
        <v>5.6589118624503121E-10</v>
      </c>
    </row>
    <row r="487" spans="1:20" ht="24.75" x14ac:dyDescent="0.25">
      <c r="A487" s="62" t="s">
        <v>52</v>
      </c>
      <c r="B487" s="86">
        <v>0.99997053486180598</v>
      </c>
      <c r="C487" s="88">
        <f>AC471</f>
        <v>77</v>
      </c>
      <c r="D487" s="86">
        <f>MAX(B487*1.5*((C487-F471)*500/2),0)</f>
        <v>374.98895057317725</v>
      </c>
      <c r="E487" s="62" t="s">
        <v>56</v>
      </c>
      <c r="F487" s="86">
        <v>3.9738636546180883E-4</v>
      </c>
      <c r="G487" s="86">
        <f>AC472+1*L464</f>
        <v>152</v>
      </c>
      <c r="H487" s="86">
        <f>F487*1.5*((G487-F472)*500/2+(G487-F473)*500+(G487-F474)*500)</f>
        <v>27.419659216864808</v>
      </c>
      <c r="I487" s="62" t="s">
        <v>60</v>
      </c>
      <c r="J487" s="86">
        <v>2.0385995058180941E-7</v>
      </c>
      <c r="K487" s="86">
        <f>AC473+2*L464</f>
        <v>217.66666666666666</v>
      </c>
      <c r="L487" s="86">
        <f>J487*1.5*((K487-G487)*500/2+(K487-G487)*500)</f>
        <v>1.5060153849231168E-2</v>
      </c>
      <c r="M487" s="62" t="s">
        <v>59</v>
      </c>
      <c r="N487" s="86">
        <v>5.7639815810447041E-10</v>
      </c>
      <c r="O487" s="86">
        <f>AC474+3*L464</f>
        <v>307.33333333333331</v>
      </c>
      <c r="P487" s="86">
        <f>N487*1.5*((O487-K487)*500/2)</f>
        <v>1.9381388066262816E-5</v>
      </c>
    </row>
    <row r="488" spans="1:20" x14ac:dyDescent="0.25">
      <c r="A488" s="86"/>
      <c r="B488" s="86"/>
      <c r="C488" s="89" t="s">
        <v>89</v>
      </c>
      <c r="D488" s="89">
        <f>SUM(D486:D487)</f>
        <v>375.13259312187324</v>
      </c>
      <c r="E488" s="62" t="s">
        <v>52</v>
      </c>
      <c r="F488" s="86">
        <v>0.99960260279304958</v>
      </c>
      <c r="G488" s="86">
        <f>AC472+0*L464</f>
        <v>140</v>
      </c>
      <c r="H488" s="86">
        <f>F488*1.5*((G488-F472)*500/2+(G488-F473)*500)</f>
        <v>46481.521029876807</v>
      </c>
      <c r="I488" s="62" t="s">
        <v>56</v>
      </c>
      <c r="J488" s="86">
        <v>2.9618548781398728E-5</v>
      </c>
      <c r="K488" s="86">
        <f>AC473+1*L464</f>
        <v>205.66666666666666</v>
      </c>
      <c r="L488" s="86">
        <f>J488*1.5*((K488-G488)*500/2+(K488-G488)*500)</f>
        <v>2.1880702912258307</v>
      </c>
      <c r="M488" s="62" t="s">
        <v>60</v>
      </c>
      <c r="N488" s="86">
        <v>3.0242765143935765E-6</v>
      </c>
      <c r="O488" s="86">
        <f>AC474+2*L464</f>
        <v>295.33333333333331</v>
      </c>
      <c r="P488" s="86">
        <f>N488*1.5*((O488-K488)*500/2)</f>
        <v>0.101691297796484</v>
      </c>
    </row>
    <row r="489" spans="1:20" x14ac:dyDescent="0.25">
      <c r="A489" s="86"/>
      <c r="B489" s="86"/>
      <c r="C489" s="86"/>
      <c r="D489" s="86"/>
      <c r="E489" s="86"/>
      <c r="F489" s="86"/>
      <c r="G489" s="89" t="s">
        <v>79</v>
      </c>
      <c r="H489" s="89">
        <f>SUM(H486:H488)</f>
        <v>46508.941681089891</v>
      </c>
      <c r="I489" s="62" t="s">
        <v>52</v>
      </c>
      <c r="J489" s="86">
        <v>0.999117062679866</v>
      </c>
      <c r="K489" s="86">
        <f>AC473+0*L464</f>
        <v>193.66666666666666</v>
      </c>
      <c r="L489" s="86">
        <f>J489*1.5*((K489-G488)*500/2+(K489-G488)*500)</f>
        <v>60321.692659296903</v>
      </c>
      <c r="M489" s="62" t="s">
        <v>56</v>
      </c>
      <c r="N489" s="86">
        <v>4.0729229429168944E-3</v>
      </c>
      <c r="O489" s="86">
        <f>AC474+1*L464</f>
        <v>283.33333333333331</v>
      </c>
      <c r="P489" s="86">
        <f>N489*1.5*((O489-K489)*500/2)</f>
        <v>136.95203395558056</v>
      </c>
    </row>
    <row r="490" spans="1:20" x14ac:dyDescent="0.25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9" t="s">
        <v>79</v>
      </c>
      <c r="L490" s="89">
        <f>SUM(L486:L489)</f>
        <v>60323.895790131006</v>
      </c>
      <c r="M490" s="62" t="s">
        <v>52</v>
      </c>
      <c r="N490" s="86">
        <v>0.99592405212380053</v>
      </c>
      <c r="O490" s="86">
        <f>AC474+0*L464</f>
        <v>271.33333333333331</v>
      </c>
      <c r="P490" s="86">
        <f>N490*1.5*((O490-K489)*500/2)</f>
        <v>29006.288018105686</v>
      </c>
      <c r="Q490" s="179" t="s">
        <v>80</v>
      </c>
      <c r="R490" s="179"/>
      <c r="S490" s="180">
        <f>D488+H489+L490+P491</f>
        <v>136351.31182708379</v>
      </c>
      <c r="T490" s="180"/>
    </row>
    <row r="491" spans="1:20" x14ac:dyDescent="0.25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9" t="s">
        <v>79</v>
      </c>
      <c r="P491" s="89">
        <f>SUM(P486:P490)</f>
        <v>29143.341762741016</v>
      </c>
      <c r="Q491" s="179"/>
      <c r="R491" s="179"/>
      <c r="S491" s="180"/>
      <c r="T491" s="180"/>
    </row>
    <row r="492" spans="1:20" x14ac:dyDescent="0.25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</row>
    <row r="493" spans="1:20" x14ac:dyDescent="0.25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</row>
    <row r="494" spans="1:20" x14ac:dyDescent="0.25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</row>
    <row r="495" spans="1:20" ht="24.75" thickBot="1" x14ac:dyDescent="0.3">
      <c r="O495" s="131" t="s">
        <v>81</v>
      </c>
      <c r="P495" s="131"/>
      <c r="Q495" s="131">
        <f>(R481+P481+M482+S490)/AC474</f>
        <v>1000.5145863945172</v>
      </c>
      <c r="R495" s="131"/>
    </row>
    <row r="496" spans="1:20" x14ac:dyDescent="0.25">
      <c r="A496" s="181" t="s">
        <v>118</v>
      </c>
      <c r="B496" s="182"/>
    </row>
    <row r="497" spans="1:34" ht="15.75" thickBot="1" x14ac:dyDescent="0.3">
      <c r="A497" s="183"/>
      <c r="B497" s="184"/>
    </row>
    <row r="498" spans="1:34" ht="21" x14ac:dyDescent="0.35">
      <c r="A498" s="185" t="s">
        <v>14</v>
      </c>
      <c r="B498" s="185"/>
      <c r="C498" s="165"/>
      <c r="D498" s="165"/>
      <c r="E498" s="165"/>
      <c r="F498" s="165"/>
      <c r="G498" s="165"/>
      <c r="H498" s="165"/>
      <c r="I498" s="165"/>
      <c r="J498" s="165"/>
      <c r="K498" s="165"/>
      <c r="L498" s="165"/>
      <c r="M498" s="165"/>
      <c r="O498" s="166" t="s">
        <v>72</v>
      </c>
      <c r="P498" s="166"/>
      <c r="Q498" s="166"/>
      <c r="R498" s="166"/>
      <c r="S498" s="166"/>
      <c r="T498" s="166"/>
      <c r="U498" s="166"/>
      <c r="V498" s="166"/>
    </row>
    <row r="499" spans="1:34" ht="36" x14ac:dyDescent="0.25">
      <c r="A499" s="4" t="s">
        <v>15</v>
      </c>
      <c r="B499" s="4" t="s">
        <v>16</v>
      </c>
      <c r="C499" s="4" t="s">
        <v>31</v>
      </c>
      <c r="D499" s="6" t="s">
        <v>17</v>
      </c>
      <c r="E499" s="6" t="s">
        <v>18</v>
      </c>
      <c r="F499" s="6" t="s">
        <v>19</v>
      </c>
      <c r="G499" s="6" t="s">
        <v>20</v>
      </c>
      <c r="H499" s="6" t="s">
        <v>21</v>
      </c>
      <c r="I499" s="6" t="s">
        <v>22</v>
      </c>
      <c r="J499" s="6" t="s">
        <v>23</v>
      </c>
      <c r="K499" s="6" t="s">
        <v>24</v>
      </c>
      <c r="L499" s="6" t="s">
        <v>25</v>
      </c>
      <c r="M499" s="6" t="s">
        <v>26</v>
      </c>
      <c r="N499" s="8"/>
      <c r="O499" s="167" t="s">
        <v>32</v>
      </c>
      <c r="P499" s="167" t="s">
        <v>35</v>
      </c>
      <c r="Q499" s="167" t="s">
        <v>66</v>
      </c>
      <c r="R499" s="99" t="s">
        <v>67</v>
      </c>
      <c r="S499" s="99" t="s">
        <v>68</v>
      </c>
      <c r="T499" s="167" t="s">
        <v>69</v>
      </c>
      <c r="U499" s="71" t="s">
        <v>33</v>
      </c>
      <c r="V499" s="99" t="s">
        <v>70</v>
      </c>
    </row>
    <row r="500" spans="1:34" x14ac:dyDescent="0.25">
      <c r="A500" s="3" t="s">
        <v>27</v>
      </c>
      <c r="B500" s="3">
        <v>0</v>
      </c>
      <c r="C500" s="3">
        <v>0.3</v>
      </c>
      <c r="D500" s="3">
        <v>243</v>
      </c>
      <c r="E500" s="3">
        <v>1.73</v>
      </c>
      <c r="F500" s="3">
        <v>5</v>
      </c>
      <c r="G500" s="169">
        <v>12</v>
      </c>
      <c r="H500" s="3">
        <v>1820</v>
      </c>
      <c r="I500" s="169">
        <v>19645</v>
      </c>
      <c r="J500" s="3">
        <v>20</v>
      </c>
      <c r="K500" s="3">
        <v>40</v>
      </c>
      <c r="L500" s="3">
        <v>500</v>
      </c>
      <c r="M500" s="3">
        <v>1000</v>
      </c>
      <c r="O500" s="168"/>
      <c r="P500" s="168"/>
      <c r="Q500" s="168"/>
      <c r="R500" s="72" t="s">
        <v>71</v>
      </c>
      <c r="S500" s="72" t="s">
        <v>71</v>
      </c>
      <c r="T500" s="168"/>
      <c r="U500" s="73">
        <v>500</v>
      </c>
      <c r="V500" s="3">
        <v>1.5</v>
      </c>
    </row>
    <row r="501" spans="1:34" x14ac:dyDescent="0.25">
      <c r="A501" s="3" t="s">
        <v>28</v>
      </c>
      <c r="B501" s="3">
        <v>0</v>
      </c>
      <c r="C501" s="3">
        <v>0.3</v>
      </c>
      <c r="D501" s="3">
        <v>254</v>
      </c>
      <c r="E501" s="3">
        <v>1.88</v>
      </c>
      <c r="F501" s="3">
        <v>3</v>
      </c>
      <c r="G501" s="170"/>
      <c r="H501" s="3">
        <v>2720</v>
      </c>
      <c r="I501" s="170"/>
      <c r="J501" s="5"/>
      <c r="K501" s="5"/>
      <c r="L501" s="5"/>
      <c r="M501" s="5"/>
      <c r="O501" s="74">
        <v>1</v>
      </c>
      <c r="P501" s="74">
        <v>106</v>
      </c>
      <c r="Q501" s="74">
        <v>110</v>
      </c>
      <c r="R501" s="74">
        <v>6</v>
      </c>
      <c r="S501" s="74">
        <v>5</v>
      </c>
      <c r="T501" s="74">
        <f>R501*$U$5/60+S501</f>
        <v>55</v>
      </c>
      <c r="U501" s="75"/>
    </row>
    <row r="502" spans="1:34" x14ac:dyDescent="0.25">
      <c r="A502" s="3" t="s">
        <v>29</v>
      </c>
      <c r="B502" s="3">
        <v>0</v>
      </c>
      <c r="C502" s="3">
        <v>0.3</v>
      </c>
      <c r="D502" s="3">
        <v>143</v>
      </c>
      <c r="E502" s="3">
        <v>2.4300000000000002</v>
      </c>
      <c r="F502" s="3">
        <v>8</v>
      </c>
      <c r="G502" s="170"/>
      <c r="H502" s="3">
        <v>3700</v>
      </c>
      <c r="I502" s="170"/>
      <c r="J502" s="5"/>
      <c r="K502" s="140" t="s">
        <v>73</v>
      </c>
      <c r="L502" s="141">
        <v>12</v>
      </c>
      <c r="M502" s="140" t="s">
        <v>74</v>
      </c>
      <c r="N502" s="141">
        <v>19645</v>
      </c>
      <c r="O502" s="74">
        <v>2</v>
      </c>
      <c r="P502" s="74">
        <v>76</v>
      </c>
      <c r="Q502" s="74">
        <v>40</v>
      </c>
      <c r="R502" s="74">
        <v>9</v>
      </c>
      <c r="S502" s="74">
        <v>2</v>
      </c>
      <c r="T502" s="74">
        <f t="shared" ref="T502:T504" si="52">R502*$U$5/60+S502</f>
        <v>77</v>
      </c>
      <c r="U502" s="75"/>
    </row>
    <row r="503" spans="1:34" x14ac:dyDescent="0.25">
      <c r="A503" s="3" t="s">
        <v>30</v>
      </c>
      <c r="B503" s="3">
        <v>0</v>
      </c>
      <c r="C503" s="3">
        <v>0.3</v>
      </c>
      <c r="D503" s="3">
        <v>449</v>
      </c>
      <c r="E503" s="3">
        <v>2.5299999999999998</v>
      </c>
      <c r="F503" s="3">
        <v>4</v>
      </c>
      <c r="G503" s="171"/>
      <c r="H503" s="3">
        <v>4320</v>
      </c>
      <c r="I503" s="171"/>
      <c r="J503" s="5"/>
      <c r="K503" s="140"/>
      <c r="L503" s="141"/>
      <c r="M503" s="140"/>
      <c r="N503" s="141"/>
      <c r="O503" s="74">
        <v>3</v>
      </c>
      <c r="P503" s="74">
        <v>95</v>
      </c>
      <c r="Q503" s="74">
        <v>67</v>
      </c>
      <c r="R503" s="74">
        <v>5</v>
      </c>
      <c r="S503" s="74">
        <v>4</v>
      </c>
      <c r="T503" s="74">
        <f t="shared" si="52"/>
        <v>45.666666666666664</v>
      </c>
      <c r="U503" s="75"/>
    </row>
    <row r="504" spans="1:34" ht="15.75" thickBo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O504" s="74">
        <v>4</v>
      </c>
      <c r="P504" s="74">
        <v>140</v>
      </c>
      <c r="Q504" s="94">
        <v>85</v>
      </c>
      <c r="R504" s="94">
        <v>8</v>
      </c>
      <c r="S504" s="94">
        <v>3</v>
      </c>
      <c r="T504" s="74">
        <f t="shared" si="52"/>
        <v>69.666666666666671</v>
      </c>
    </row>
    <row r="505" spans="1:34" x14ac:dyDescent="0.25">
      <c r="A505" s="142" t="s">
        <v>36</v>
      </c>
      <c r="B505" s="144" t="s">
        <v>106</v>
      </c>
      <c r="C505" s="144"/>
      <c r="D505" s="144"/>
      <c r="E505" s="144"/>
      <c r="F505" s="20" t="s">
        <v>27</v>
      </c>
      <c r="G505" s="20" t="s">
        <v>28</v>
      </c>
      <c r="H505" s="20" t="s">
        <v>29</v>
      </c>
      <c r="I505" s="20" t="s">
        <v>30</v>
      </c>
    </row>
    <row r="506" spans="1:34" ht="15.75" thickBot="1" x14ac:dyDescent="0.3">
      <c r="A506" s="143"/>
      <c r="B506" s="145"/>
      <c r="C506" s="145"/>
      <c r="D506" s="145"/>
      <c r="E506" s="145"/>
      <c r="F506" s="20">
        <v>126</v>
      </c>
      <c r="G506" s="26">
        <v>91</v>
      </c>
      <c r="H506" s="26">
        <v>67</v>
      </c>
      <c r="I506" s="26">
        <v>201</v>
      </c>
    </row>
    <row r="507" spans="1:34" ht="15.75" thickBot="1" x14ac:dyDescent="0.3">
      <c r="A507" s="143"/>
      <c r="B507" s="145"/>
      <c r="C507" s="145"/>
      <c r="D507" s="145"/>
      <c r="E507" s="145"/>
      <c r="F507" s="7"/>
      <c r="G507" s="146" t="s">
        <v>27</v>
      </c>
      <c r="H507" s="147"/>
      <c r="I507" s="147"/>
      <c r="J507" s="147"/>
      <c r="K507" s="148"/>
      <c r="L507" s="149" t="s">
        <v>28</v>
      </c>
      <c r="M507" s="150"/>
      <c r="N507" s="150"/>
      <c r="O507" s="150"/>
      <c r="P507" s="151"/>
      <c r="Q507" s="152" t="s">
        <v>29</v>
      </c>
      <c r="R507" s="153"/>
      <c r="S507" s="153"/>
      <c r="T507" s="153"/>
      <c r="U507" s="154"/>
      <c r="V507" s="155" t="s">
        <v>30</v>
      </c>
      <c r="W507" s="156"/>
      <c r="X507" s="156"/>
      <c r="Y507" s="156"/>
      <c r="Z507" s="157"/>
      <c r="AA507" s="158" t="s">
        <v>42</v>
      </c>
      <c r="AB507" s="159"/>
      <c r="AC507" s="160" t="s">
        <v>44</v>
      </c>
      <c r="AD507" s="162" t="s">
        <v>47</v>
      </c>
      <c r="AE507" s="163"/>
      <c r="AF507" s="163"/>
      <c r="AG507" s="164"/>
      <c r="AH507" s="138" t="s">
        <v>62</v>
      </c>
    </row>
    <row r="508" spans="1:34" ht="36.75" x14ac:dyDescent="0.25">
      <c r="A508" s="21" t="s">
        <v>32</v>
      </c>
      <c r="B508" s="22" t="s">
        <v>37</v>
      </c>
      <c r="C508" s="23" t="s">
        <v>33</v>
      </c>
      <c r="D508" s="22" t="s">
        <v>38</v>
      </c>
      <c r="E508" s="22" t="s">
        <v>34</v>
      </c>
      <c r="F508" s="25" t="s">
        <v>35</v>
      </c>
      <c r="G508" s="27" t="s">
        <v>39</v>
      </c>
      <c r="H508" s="10" t="s">
        <v>40</v>
      </c>
      <c r="I508" s="10" t="s">
        <v>45</v>
      </c>
      <c r="J508" s="10" t="s">
        <v>46</v>
      </c>
      <c r="K508" s="28" t="s">
        <v>41</v>
      </c>
      <c r="L508" s="30" t="s">
        <v>39</v>
      </c>
      <c r="M508" s="13" t="s">
        <v>40</v>
      </c>
      <c r="N508" s="13" t="s">
        <v>45</v>
      </c>
      <c r="O508" s="13" t="s">
        <v>46</v>
      </c>
      <c r="P508" s="31" t="s">
        <v>41</v>
      </c>
      <c r="Q508" s="33" t="s">
        <v>39</v>
      </c>
      <c r="R508" s="12" t="s">
        <v>40</v>
      </c>
      <c r="S508" s="12" t="s">
        <v>45</v>
      </c>
      <c r="T508" s="12" t="s">
        <v>46</v>
      </c>
      <c r="U508" s="34" t="s">
        <v>41</v>
      </c>
      <c r="V508" s="36" t="s">
        <v>39</v>
      </c>
      <c r="W508" s="11" t="s">
        <v>40</v>
      </c>
      <c r="X508" s="11" t="s">
        <v>45</v>
      </c>
      <c r="Y508" s="11" t="s">
        <v>46</v>
      </c>
      <c r="Z508" s="37" t="s">
        <v>41</v>
      </c>
      <c r="AA508" s="39" t="s">
        <v>41</v>
      </c>
      <c r="AB508" s="40" t="s">
        <v>43</v>
      </c>
      <c r="AC508" s="161"/>
      <c r="AD508" s="43" t="s">
        <v>27</v>
      </c>
      <c r="AE508" s="1" t="s">
        <v>28</v>
      </c>
      <c r="AF508" s="1" t="s">
        <v>29</v>
      </c>
      <c r="AG508" s="1" t="s">
        <v>30</v>
      </c>
      <c r="AH508" s="139"/>
    </row>
    <row r="509" spans="1:34" x14ac:dyDescent="0.25">
      <c r="A509" s="24">
        <v>2</v>
      </c>
      <c r="B509" s="9">
        <v>9</v>
      </c>
      <c r="C509" s="9">
        <v>500</v>
      </c>
      <c r="D509" s="9">
        <v>2</v>
      </c>
      <c r="E509" s="48">
        <f>B509*C509/60+D509</f>
        <v>77</v>
      </c>
      <c r="F509" s="100">
        <v>76</v>
      </c>
      <c r="G509" s="49">
        <f>B$5*(1-AD509*C$5)</f>
        <v>0</v>
      </c>
      <c r="H509" s="50">
        <f>G509+E509</f>
        <v>77</v>
      </c>
      <c r="I509" s="15">
        <f>(H509/D$5)^E$5</f>
        <v>0.13693992990275231</v>
      </c>
      <c r="J509" s="15">
        <f>(G509/D$5)^E$5</f>
        <v>0</v>
      </c>
      <c r="K509" s="29">
        <f>1-EXP(J509-I509)</f>
        <v>0.1279773929583623</v>
      </c>
      <c r="L509" s="51">
        <f>B$6*(1-AE509*C$6)</f>
        <v>0</v>
      </c>
      <c r="M509" s="52">
        <f>L509+E509</f>
        <v>77</v>
      </c>
      <c r="N509" s="17">
        <f>(M509/D$6)^E$6</f>
        <v>0.10605109964467559</v>
      </c>
      <c r="O509" s="17">
        <f>(L509/D$6)^E$6</f>
        <v>0</v>
      </c>
      <c r="P509" s="32">
        <f>1-EXP(O509-N509)</f>
        <v>0.10062131102974814</v>
      </c>
      <c r="Q509" s="53">
        <f>B$7*(1-AF509*C$7)</f>
        <v>0</v>
      </c>
      <c r="R509" s="54">
        <f>Q509+E509</f>
        <v>77</v>
      </c>
      <c r="S509" s="16">
        <f>(R509/D$7)^E$7</f>
        <v>0.2221804751105394</v>
      </c>
      <c r="T509" s="16">
        <f>(Q509/D$7)^E$7</f>
        <v>0</v>
      </c>
      <c r="U509" s="35">
        <f>1-EXP(T509-S509)</f>
        <v>0.19922916791162293</v>
      </c>
      <c r="V509" s="55">
        <f>B$8*(1-AG509*C$8)</f>
        <v>0</v>
      </c>
      <c r="W509" s="56">
        <f>V509+E509</f>
        <v>77</v>
      </c>
      <c r="X509" s="18">
        <f>(W509/D$8)^E$8</f>
        <v>1.1551497592884551E-2</v>
      </c>
      <c r="Y509" s="18">
        <f>(V509/D$8)^E$8</f>
        <v>0</v>
      </c>
      <c r="Z509" s="38">
        <f>1-EXP(Y509-X509)</f>
        <v>1.1485035204098715E-2</v>
      </c>
      <c r="AA509" s="41">
        <f>K509*P509*U509*Z509</f>
        <v>2.9465138194053318E-5</v>
      </c>
      <c r="AB509" s="42">
        <f>1-AA509</f>
        <v>0.99997053486180598</v>
      </c>
      <c r="AC509" s="47">
        <f>(AD509*F$5+AE509*F$6+AF509*F$7+AG509*F$8)+E509</f>
        <v>77</v>
      </c>
      <c r="AD509" s="43">
        <v>0</v>
      </c>
      <c r="AE509" s="1">
        <v>0</v>
      </c>
      <c r="AF509" s="1">
        <v>0</v>
      </c>
      <c r="AG509" s="1">
        <v>0</v>
      </c>
      <c r="AH509" s="74">
        <v>40</v>
      </c>
    </row>
    <row r="510" spans="1:34" x14ac:dyDescent="0.25">
      <c r="A510" s="76">
        <v>1</v>
      </c>
      <c r="B510" s="58">
        <v>6</v>
      </c>
      <c r="C510" s="9">
        <v>500</v>
      </c>
      <c r="D510" s="58">
        <v>5</v>
      </c>
      <c r="E510" s="48">
        <f t="shared" ref="E510:E512" si="53">B510*C510/60+D510</f>
        <v>55</v>
      </c>
      <c r="F510" s="100">
        <v>106</v>
      </c>
      <c r="G510" s="49">
        <f>H509*(1-AD510*C$5)</f>
        <v>77</v>
      </c>
      <c r="H510" s="50">
        <f>G510+E510</f>
        <v>132</v>
      </c>
      <c r="I510" s="15">
        <f>(H510/D$5)^E$5</f>
        <v>0.34793173894508389</v>
      </c>
      <c r="J510" s="15">
        <f>(G510/D$5)^E$5</f>
        <v>0.13693992990275231</v>
      </c>
      <c r="K510" s="29">
        <f>1-EXP(J510-I510)</f>
        <v>0.19021930026645628</v>
      </c>
      <c r="L510" s="51">
        <f>M509*(1-AE510*C$6)</f>
        <v>77</v>
      </c>
      <c r="M510" s="52">
        <f>L510+E510</f>
        <v>132</v>
      </c>
      <c r="N510" s="17">
        <f>(M510/D$6)^E$6</f>
        <v>0.29214038913862722</v>
      </c>
      <c r="O510" s="17">
        <f>(L510/D$6)^E$6</f>
        <v>0.10605109964467559</v>
      </c>
      <c r="P510" s="32">
        <f>1-EXP(O510-N510)</f>
        <v>0.16980053641757786</v>
      </c>
      <c r="Q510" s="53">
        <f>R509*(1-AF510*C$7)</f>
        <v>53.9</v>
      </c>
      <c r="R510" s="54">
        <f>Q510+E510</f>
        <v>108.9</v>
      </c>
      <c r="S510" s="16">
        <f>(R510/D$7)^E$7</f>
        <v>0.51583544016164296</v>
      </c>
      <c r="T510" s="16">
        <f>(Q510/D$7)^E$7</f>
        <v>9.3388656656360772E-2</v>
      </c>
      <c r="U510" s="35">
        <f>1-EXP(T510-S510)</f>
        <v>0.34455886632161792</v>
      </c>
      <c r="V510" s="55">
        <f>W509*(1-AG510*C$8)</f>
        <v>77</v>
      </c>
      <c r="W510" s="56">
        <f>V510+E510</f>
        <v>132</v>
      </c>
      <c r="X510" s="18">
        <f>(W510/D$8)^E$8</f>
        <v>4.5171946303006208E-2</v>
      </c>
      <c r="Y510" s="18">
        <f>(V510/D$8)^E$8</f>
        <v>1.1551497592884551E-2</v>
      </c>
      <c r="Z510" s="38">
        <f>1-EXP(Y510-X510)</f>
        <v>3.3061562270589318E-2</v>
      </c>
      <c r="AA510" s="41">
        <f>K510*P510*U510*Z510</f>
        <v>3.6794291024515129E-4</v>
      </c>
      <c r="AB510" s="42">
        <f>1-AA510</f>
        <v>0.99963205708975489</v>
      </c>
      <c r="AC510" s="47">
        <f>AF510*F$7+E510+AC509</f>
        <v>140</v>
      </c>
      <c r="AD510" s="43">
        <v>0</v>
      </c>
      <c r="AE510" s="1">
        <v>0</v>
      </c>
      <c r="AF510" s="1">
        <v>1</v>
      </c>
      <c r="AG510" s="1">
        <v>0</v>
      </c>
      <c r="AH510" s="74">
        <v>110</v>
      </c>
    </row>
    <row r="511" spans="1:34" x14ac:dyDescent="0.25">
      <c r="A511" s="24">
        <v>4</v>
      </c>
      <c r="B511" s="9">
        <v>8</v>
      </c>
      <c r="C511" s="58">
        <v>500</v>
      </c>
      <c r="D511" s="58">
        <v>3</v>
      </c>
      <c r="E511" s="48">
        <f t="shared" si="53"/>
        <v>69.666666666666671</v>
      </c>
      <c r="F511" s="100">
        <v>140</v>
      </c>
      <c r="G511" s="68">
        <f>H510*(1-AD511*C$5)</f>
        <v>92.399999999999991</v>
      </c>
      <c r="H511" s="69">
        <f>G511+E511</f>
        <v>162.06666666666666</v>
      </c>
      <c r="I511" s="70">
        <f>(H511/D$5)^E$5</f>
        <v>0.49621655271682308</v>
      </c>
      <c r="J511" s="70">
        <f>(G511/D$5)^E$5</f>
        <v>0.18772134485664987</v>
      </c>
      <c r="K511" s="29">
        <f>1-EXP(J511-I511)</f>
        <v>0.26544852773589911</v>
      </c>
      <c r="L511" s="51">
        <f>M510*(1-AE511*C$6)</f>
        <v>92.399999999999991</v>
      </c>
      <c r="M511" s="52">
        <f>L511+E511</f>
        <v>162.06666666666666</v>
      </c>
      <c r="N511" s="17">
        <f>(M511/D$6)^E$6</f>
        <v>0.42967171801167126</v>
      </c>
      <c r="O511" s="17">
        <f>(L511/D$6)^E$6</f>
        <v>0.14940871089337018</v>
      </c>
      <c r="P511" s="32">
        <f>1-EXP(O511-N511)</f>
        <v>0.24441500891064738</v>
      </c>
      <c r="Q511" s="53">
        <f>R510*(1-AF511*C$7)</f>
        <v>76.23</v>
      </c>
      <c r="R511" s="54">
        <f>Q511+E511</f>
        <v>145.89666666666668</v>
      </c>
      <c r="S511" s="16">
        <f>(R511/D$7)^E$7</f>
        <v>1.0499380551052924</v>
      </c>
      <c r="T511" s="16">
        <f>(Q511/D$7)^E$7</f>
        <v>0.21682003690230314</v>
      </c>
      <c r="U511" s="35">
        <f>1-EXP(T511-S511)</f>
        <v>0.56530820584816865</v>
      </c>
      <c r="V511" s="55">
        <f>W510*(1-AG511*C$8)</f>
        <v>132</v>
      </c>
      <c r="W511" s="56">
        <f>V511+E511</f>
        <v>201.66666666666669</v>
      </c>
      <c r="X511" s="18">
        <f>(W511/D$8)^E$8</f>
        <v>0.13199001575183039</v>
      </c>
      <c r="Y511" s="18">
        <f>(V511/D$8)^E$8</f>
        <v>4.5171946303006208E-2</v>
      </c>
      <c r="Z511" s="38">
        <f>1-EXP(Y511-X511)</f>
        <v>8.3156117626247084E-2</v>
      </c>
      <c r="AA511" s="41">
        <f>K511*P511*U511*Z511</f>
        <v>3.0499146549414916E-3</v>
      </c>
      <c r="AB511" s="42">
        <f>1-AA511</f>
        <v>0.99695008534505847</v>
      </c>
      <c r="AC511" s="47">
        <f>(AF511*F$7)+E511+AC510</f>
        <v>217.66666666666669</v>
      </c>
      <c r="AD511" s="77">
        <v>1</v>
      </c>
      <c r="AE511" s="78">
        <v>1</v>
      </c>
      <c r="AF511" s="78">
        <v>1</v>
      </c>
      <c r="AG511" s="78">
        <v>0</v>
      </c>
      <c r="AH511" s="74">
        <v>85</v>
      </c>
    </row>
    <row r="512" spans="1:34" ht="15.75" thickBot="1" x14ac:dyDescent="0.3">
      <c r="A512" s="57">
        <v>3</v>
      </c>
      <c r="B512" s="58">
        <v>5</v>
      </c>
      <c r="C512" s="58">
        <v>500</v>
      </c>
      <c r="D512" s="9">
        <v>4</v>
      </c>
      <c r="E512" s="48">
        <f t="shared" si="53"/>
        <v>45.666666666666664</v>
      </c>
      <c r="F512" s="100">
        <v>95</v>
      </c>
      <c r="G512" s="68">
        <f>H511*(1-AD512*C$5)</f>
        <v>113.44666666666666</v>
      </c>
      <c r="H512" s="69">
        <f>G512+E512</f>
        <v>159.11333333333332</v>
      </c>
      <c r="I512" s="70">
        <f>(H512/D$5)^E$5</f>
        <v>0.48067719678878712</v>
      </c>
      <c r="J512" s="70">
        <f>(G512/D$5)^E$5</f>
        <v>0.26772618933403824</v>
      </c>
      <c r="K512" s="29">
        <f>1-EXP(J512-I512)</f>
        <v>0.19180426818747698</v>
      </c>
      <c r="L512" s="51">
        <f>M511*(1-AE512*C$6)</f>
        <v>113.44666666666666</v>
      </c>
      <c r="M512" s="52">
        <f>L512+E512</f>
        <v>159.11333333333332</v>
      </c>
      <c r="N512" s="17">
        <f>(M512/D$6)^E$6</f>
        <v>0.41506964346675868</v>
      </c>
      <c r="O512" s="17">
        <f>(L512/D$6)^E$6</f>
        <v>0.21974605320663379</v>
      </c>
      <c r="P512" s="32">
        <f>1-EXP(O512-N512)</f>
        <v>0.17743156014988948</v>
      </c>
      <c r="Q512" s="53">
        <f>R511*(1-AF512*C$7)</f>
        <v>102.12766666666667</v>
      </c>
      <c r="R512" s="54">
        <f>Q512+E512</f>
        <v>147.79433333333333</v>
      </c>
      <c r="S512" s="16">
        <f>(R512/D$7)^E$7</f>
        <v>1.0834324555628201</v>
      </c>
      <c r="T512" s="16">
        <f>(Q512/D$7)^E$7</f>
        <v>0.44131827735939577</v>
      </c>
      <c r="U512" s="35">
        <f>1-EXP(T512-S512)</f>
        <v>0.4738211885042094</v>
      </c>
      <c r="V512" s="55">
        <f>W511*(1-AG512*C$8)</f>
        <v>141.16666666666666</v>
      </c>
      <c r="W512" s="56">
        <f>V512+E512</f>
        <v>186.83333333333331</v>
      </c>
      <c r="X512" s="18">
        <f>(W512/D$8)^E$8</f>
        <v>0.10879183288616899</v>
      </c>
      <c r="Y512" s="18">
        <f>(V512/D$8)^E$8</f>
        <v>5.3535162088524581E-2</v>
      </c>
      <c r="Z512" s="38">
        <f>1-EXP(Y512-X512)</f>
        <v>5.3757755969894516E-2</v>
      </c>
      <c r="AA512" s="41">
        <f>K512*P512*U512*Z512</f>
        <v>8.6685158535100733E-4</v>
      </c>
      <c r="AB512" s="42">
        <f>1-AA512</f>
        <v>0.99913314841464895</v>
      </c>
      <c r="AC512" s="47">
        <f>(AF512*F$7)+E512+AC511</f>
        <v>271.33333333333337</v>
      </c>
      <c r="AD512" s="80">
        <v>1</v>
      </c>
      <c r="AE512" s="45">
        <v>1</v>
      </c>
      <c r="AF512" s="81">
        <v>1</v>
      </c>
      <c r="AG512" s="45">
        <v>1</v>
      </c>
      <c r="AH512" s="94">
        <v>67</v>
      </c>
    </row>
    <row r="513" spans="1:33" ht="18.75" x14ac:dyDescent="0.3">
      <c r="A513" s="132" t="s">
        <v>53</v>
      </c>
      <c r="B513" s="132"/>
      <c r="C513" s="132"/>
      <c r="D513" s="132"/>
      <c r="E513" s="132"/>
      <c r="F513" s="132"/>
      <c r="G513" s="132"/>
      <c r="H513" s="132"/>
      <c r="I513" s="132"/>
      <c r="J513" s="132"/>
      <c r="AG513" s="46"/>
    </row>
    <row r="514" spans="1:33" ht="15.75" x14ac:dyDescent="0.25">
      <c r="A514" s="19" t="s">
        <v>48</v>
      </c>
      <c r="B514" s="60" t="s">
        <v>49</v>
      </c>
      <c r="C514" s="61" t="s">
        <v>50</v>
      </c>
      <c r="D514" s="19" t="s">
        <v>58</v>
      </c>
      <c r="E514" s="60" t="s">
        <v>57</v>
      </c>
      <c r="F514" s="61" t="s">
        <v>50</v>
      </c>
      <c r="G514" s="19" t="s">
        <v>82</v>
      </c>
      <c r="H514" s="60" t="s">
        <v>61</v>
      </c>
      <c r="I514" s="61" t="s">
        <v>50</v>
      </c>
      <c r="J514" s="19" t="s">
        <v>54</v>
      </c>
      <c r="K514" s="83" t="s">
        <v>84</v>
      </c>
      <c r="L514" s="61" t="s">
        <v>50</v>
      </c>
      <c r="M514" s="61" t="s">
        <v>85</v>
      </c>
      <c r="O514" s="174" t="s">
        <v>64</v>
      </c>
      <c r="P514" s="174"/>
      <c r="Q514" s="175" t="s">
        <v>109</v>
      </c>
      <c r="R514" s="175"/>
    </row>
    <row r="515" spans="1:33" ht="24.75" x14ac:dyDescent="0.25">
      <c r="A515" s="61" t="s">
        <v>51</v>
      </c>
      <c r="B515" s="1">
        <f>AA509</f>
        <v>2.9465138194053318E-5</v>
      </c>
      <c r="C515" s="59">
        <f>MAX(AC509+1*L502-F509,0)</f>
        <v>13</v>
      </c>
      <c r="D515" s="62" t="s">
        <v>55</v>
      </c>
      <c r="E515" s="1">
        <f>AA509*AA510</f>
        <v>1.084148869789554E-8</v>
      </c>
      <c r="F515" s="1">
        <f>MAX(AC510+2*L502-F510,0)</f>
        <v>58</v>
      </c>
      <c r="G515" s="62" t="s">
        <v>59</v>
      </c>
      <c r="H515" s="1">
        <f>AA509*AA510*AA511</f>
        <v>3.3065615261094155E-11</v>
      </c>
      <c r="I515" s="1">
        <f>AC511+3*L502-F511</f>
        <v>113.66666666666669</v>
      </c>
      <c r="J515" s="62" t="s">
        <v>83</v>
      </c>
      <c r="K515" s="1">
        <f>AA509*AA510*AA511*AA512</f>
        <v>2.8662981009685932E-14</v>
      </c>
      <c r="L515" s="1">
        <f>AC512+4*L502-F512</f>
        <v>224.33333333333337</v>
      </c>
      <c r="M515" s="1">
        <f>B515*C515*AH509+E515*F515*AH510+H515*I515*AH511+K515*L515*AH512</f>
        <v>1.5391360458567238E-2</v>
      </c>
      <c r="O515" s="1" t="s">
        <v>27</v>
      </c>
      <c r="P515" s="1">
        <f>2*H500</f>
        <v>3640</v>
      </c>
      <c r="Q515" s="1">
        <f>(K509*(1-P509)*(1-U509)*(1-Z509))+(P509*(1-K509)*(1-U509)*(1-Z509))+(U509*(1-K509)*(1-P509)*(1-Z509))+(Z509*(1-K509)*(1-P509)*(1-U509))</f>
        <v>0.32223571239848364</v>
      </c>
      <c r="R515" s="1">
        <f>Q515*(L$7*(J$5*K$5+L$5)+I$5)</f>
        <v>11357.197683484555</v>
      </c>
    </row>
    <row r="516" spans="1:33" ht="24.75" x14ac:dyDescent="0.25">
      <c r="A516" s="62" t="s">
        <v>52</v>
      </c>
      <c r="B516" s="1">
        <f>AB509</f>
        <v>0.99997053486180598</v>
      </c>
      <c r="C516" s="59">
        <f>MAX(AC509-F509,0)</f>
        <v>1</v>
      </c>
      <c r="D516" s="62" t="s">
        <v>56</v>
      </c>
      <c r="E516" s="1">
        <f>AA509*AB510+AA510*AB509</f>
        <v>3.9738636546180883E-4</v>
      </c>
      <c r="F516" s="1">
        <f>MAX(AC510+1*L502-F510,0)</f>
        <v>46</v>
      </c>
      <c r="G516" s="62" t="s">
        <v>60</v>
      </c>
      <c r="H516" s="1">
        <f>AA509*AA510*AB511+AA510*AA511*AB509+AA509*AA511*AB510</f>
        <v>1.2228029227785408E-6</v>
      </c>
      <c r="I516" s="1">
        <f>AC511+2*L502-F511</f>
        <v>101.66666666666669</v>
      </c>
      <c r="J516" s="62" t="s">
        <v>59</v>
      </c>
      <c r="K516">
        <f>AB509*AA510*AA511*AA512+AB510*AA509*AA511*AA512*+AB511*AA509*AA510*AA512+AB512*AA509*AA510*AA511</f>
        <v>1.0057843482789107E-9</v>
      </c>
      <c r="L516" s="1">
        <f>AC512+3*L502-F512</f>
        <v>212.33333333333337</v>
      </c>
      <c r="M516" s="1">
        <f>B516*C516*AH509+E516*F516*AH510+H516*I516*AH511+K516*L516*AH512</f>
        <v>42.02017776759007</v>
      </c>
      <c r="O516" s="1" t="s">
        <v>28</v>
      </c>
      <c r="P516" s="1">
        <f>2*H501</f>
        <v>5440</v>
      </c>
      <c r="Q516" s="1">
        <f t="shared" ref="Q516:Q518" si="54">(K510*(1-P510)*(1-U510)*(1-Z510))+(P510*(1-K510)*(1-U510)*(1-Z510))+(U510*(1-K510)*(1-P510)*(1-Z510))+(Z510*(1-K510)*(1-P510)*(1-U510))</f>
        <v>0.42577915194755084</v>
      </c>
      <c r="R516" s="1">
        <f t="shared" ref="R516:R518" si="55">Q516*(L$7*(J$5*K$5+L$5)+I$5)</f>
        <v>15006.58621039143</v>
      </c>
    </row>
    <row r="517" spans="1:33" ht="24.75" x14ac:dyDescent="0.25">
      <c r="A517" s="1"/>
      <c r="B517" s="1"/>
      <c r="C517" s="1"/>
      <c r="D517" s="62" t="s">
        <v>52</v>
      </c>
      <c r="E517" s="1">
        <f>AB509*AB510</f>
        <v>0.99960260279304958</v>
      </c>
      <c r="F517" s="59">
        <f>MAX(AC510-F510,0)</f>
        <v>34</v>
      </c>
      <c r="G517" s="62" t="s">
        <v>56</v>
      </c>
      <c r="H517" s="1">
        <f>AA509*AB510*AB511+AA510*AB509*AB511*+AA511*AB509*AB510</f>
        <v>3.0482757942462011E-5</v>
      </c>
      <c r="I517" s="1">
        <f>AC511+1*L502-F511</f>
        <v>89.666666666666686</v>
      </c>
      <c r="J517" s="62" t="s">
        <v>60</v>
      </c>
      <c r="K517" s="1">
        <f>AA509*AA510*AB511*AB512 + AA509*AA511*AB510*AB512 + AA509*AA512*AB510*AB511 + AA510*AA511*AB509*AB512 + AA510*AA512*AB509*AB511 + AA511*AA512*AB509*AB510</f>
        <v>4.2079400214751272E-6</v>
      </c>
      <c r="L517" s="1">
        <f>AC512+2*L502-F512</f>
        <v>200.33333333333337</v>
      </c>
      <c r="M517" s="1">
        <f>B517*C517*AH509+E517*F517*AH510+H517*I517*AH511+K517*L517*AH512</f>
        <v>3738.8025442397384</v>
      </c>
      <c r="O517" s="1" t="s">
        <v>29</v>
      </c>
      <c r="P517" s="1">
        <f>3*(F502*(J500*K500+L500)+H502)</f>
        <v>42300</v>
      </c>
      <c r="Q517" s="1">
        <f t="shared" si="54"/>
        <v>0.45921529460969446</v>
      </c>
      <c r="R517" s="1">
        <f t="shared" si="55"/>
        <v>16185.04305851868</v>
      </c>
    </row>
    <row r="518" spans="1:33" ht="24.75" x14ac:dyDescent="0.25">
      <c r="A518" s="1"/>
      <c r="B518" s="1"/>
      <c r="C518" s="1"/>
      <c r="D518" s="1"/>
      <c r="E518" s="1"/>
      <c r="F518" s="1"/>
      <c r="G518" s="62" t="s">
        <v>52</v>
      </c>
      <c r="H518" s="1">
        <f>AB509*AB510*AB511</f>
        <v>0.99655390016567336</v>
      </c>
      <c r="I518" s="63">
        <f>AC511-F511</f>
        <v>77.666666666666686</v>
      </c>
      <c r="J518" s="62" t="s">
        <v>56</v>
      </c>
      <c r="K518" s="1">
        <f>AA509*AB510*AB511*AB512+AA510*AB509*AB511*AB512+AA511*AB509*AB510*AB512+AA512*AB509*AB510*AB511</f>
        <v>4.3057551294972884E-3</v>
      </c>
      <c r="L518" s="1">
        <f>AC512+1*L502-F512</f>
        <v>188.33333333333337</v>
      </c>
      <c r="M518" s="1">
        <f>B518*C518*AH509+E518*F518*AH510+H518*I518*AH511+K518*L518*AH512</f>
        <v>6633.2481177360951</v>
      </c>
      <c r="O518" s="1" t="s">
        <v>30</v>
      </c>
      <c r="P518" s="1">
        <f>1*H503</f>
        <v>4320</v>
      </c>
      <c r="Q518" s="1">
        <f t="shared" si="54"/>
        <v>0.46681682901369942</v>
      </c>
      <c r="R518" s="1">
        <f t="shared" si="55"/>
        <v>16452.959138587838</v>
      </c>
    </row>
    <row r="519" spans="1:33" ht="30" x14ac:dyDescent="0.25">
      <c r="I519" s="84"/>
      <c r="J519" s="62" t="s">
        <v>52</v>
      </c>
      <c r="K519" s="85">
        <f>AB509*AB510*AB511*AB512</f>
        <v>0.99569003583742699</v>
      </c>
      <c r="L519" s="1">
        <f>AC512+0*L502-F512</f>
        <v>176.33333333333337</v>
      </c>
      <c r="M519" s="1">
        <f>B519*C519*AH509+E519*F519*AH510+H519*I519*AH511+K519*L519*AH512</f>
        <v>11763.413980061978</v>
      </c>
      <c r="O519" s="64" t="s">
        <v>65</v>
      </c>
      <c r="P519" s="65">
        <f>SUM(P515:P518)</f>
        <v>55700</v>
      </c>
      <c r="Q519" s="96" t="s">
        <v>108</v>
      </c>
      <c r="R519" s="97">
        <f>SUM(R515:R518)</f>
        <v>59001.786090982503</v>
      </c>
    </row>
    <row r="520" spans="1:33" x14ac:dyDescent="0.25">
      <c r="L520" s="176" t="s">
        <v>63</v>
      </c>
      <c r="M520" s="177">
        <f>SUM(M515:M519)</f>
        <v>22177.500211165861</v>
      </c>
    </row>
    <row r="521" spans="1:33" x14ac:dyDescent="0.25">
      <c r="L521" s="176"/>
      <c r="M521" s="177"/>
    </row>
    <row r="522" spans="1:33" x14ac:dyDescent="0.25">
      <c r="A522" s="178" t="s">
        <v>90</v>
      </c>
      <c r="B522" s="178"/>
      <c r="C522" s="178"/>
      <c r="D522" s="178"/>
      <c r="E522" s="178"/>
      <c r="F522" s="178"/>
      <c r="G522" s="178"/>
      <c r="H522" s="178"/>
      <c r="I522" s="178"/>
      <c r="J522" s="178"/>
      <c r="K522" s="178"/>
      <c r="L522" s="178"/>
      <c r="M522" s="178"/>
      <c r="N522" s="178"/>
    </row>
    <row r="523" spans="1:33" ht="15.75" x14ac:dyDescent="0.25">
      <c r="A523" s="87" t="s">
        <v>75</v>
      </c>
      <c r="B523" s="62" t="s">
        <v>49</v>
      </c>
      <c r="C523" s="90" t="s">
        <v>87</v>
      </c>
      <c r="D523" s="62" t="s">
        <v>88</v>
      </c>
      <c r="E523" s="87" t="s">
        <v>77</v>
      </c>
      <c r="F523" s="62" t="s">
        <v>57</v>
      </c>
      <c r="G523" s="90" t="s">
        <v>78</v>
      </c>
      <c r="H523" s="62" t="s">
        <v>88</v>
      </c>
      <c r="I523" s="87" t="s">
        <v>86</v>
      </c>
      <c r="J523" s="62" t="s">
        <v>61</v>
      </c>
      <c r="K523" s="90" t="s">
        <v>103</v>
      </c>
      <c r="L523" s="62" t="s">
        <v>88</v>
      </c>
      <c r="M523" s="87" t="s">
        <v>76</v>
      </c>
      <c r="N523" s="62" t="s">
        <v>84</v>
      </c>
      <c r="O523" s="90" t="s">
        <v>102</v>
      </c>
      <c r="P523" s="62" t="s">
        <v>88</v>
      </c>
    </row>
    <row r="524" spans="1:33" ht="24.75" x14ac:dyDescent="0.25">
      <c r="A524" s="62" t="s">
        <v>51</v>
      </c>
      <c r="B524" s="86">
        <v>2.9465138194053318E-5</v>
      </c>
      <c r="C524" s="86">
        <f>AC509+1*L502</f>
        <v>89</v>
      </c>
      <c r="D524" s="86">
        <f>MAX(B524*1.5*((C524-F509)*500/2),0)</f>
        <v>0.14364254869600993</v>
      </c>
      <c r="E524" s="62" t="s">
        <v>55</v>
      </c>
      <c r="F524" s="86">
        <v>1.084148869789554E-8</v>
      </c>
      <c r="G524" s="86">
        <f>AC510+2*L502</f>
        <v>164</v>
      </c>
      <c r="H524" s="86">
        <f>F524*1.5*((G524-F510)*500/2+(G524-F511)*500+(G524-F512)*500)</f>
        <v>9.9199621585744193E-4</v>
      </c>
      <c r="I524" s="62" t="s">
        <v>59</v>
      </c>
      <c r="J524" s="86">
        <v>3.3065615261094155E-11</v>
      </c>
      <c r="K524" s="86">
        <f>AC511+3*L502</f>
        <v>253.66666666666669</v>
      </c>
      <c r="L524" s="86">
        <f>J524*1.5*((K524-G524)*500/2+(K524-G524)*500)</f>
        <v>3.3354939394628732E-6</v>
      </c>
      <c r="M524" s="62" t="s">
        <v>83</v>
      </c>
      <c r="N524" s="86">
        <v>2.8662981009685932E-14</v>
      </c>
      <c r="O524" s="86">
        <f>AC512+4*L502</f>
        <v>319.33333333333337</v>
      </c>
      <c r="P524" s="86">
        <f>N524*1.5*((O524-K524)*500/2)</f>
        <v>7.0582590736351618E-10</v>
      </c>
    </row>
    <row r="525" spans="1:33" ht="24.75" x14ac:dyDescent="0.25">
      <c r="A525" s="62" t="s">
        <v>52</v>
      </c>
      <c r="B525" s="86">
        <v>0.99997053486180598</v>
      </c>
      <c r="C525" s="88">
        <f>AC509</f>
        <v>77</v>
      </c>
      <c r="D525" s="86">
        <f>MAX(B525*1.5*((C525-F509)*500/2),0)</f>
        <v>374.98895057317725</v>
      </c>
      <c r="E525" s="62" t="s">
        <v>56</v>
      </c>
      <c r="F525" s="86">
        <v>3.9738636546180883E-4</v>
      </c>
      <c r="G525" s="86">
        <f>AC510+1*L502</f>
        <v>152</v>
      </c>
      <c r="H525" s="86">
        <f>F525*1.5*((G525-F510)*500/2+(G525-F511)*500+(G525-F512)*500)</f>
        <v>27.419659216864808</v>
      </c>
      <c r="I525" s="62" t="s">
        <v>60</v>
      </c>
      <c r="J525" s="86">
        <v>1.2228029227785408E-6</v>
      </c>
      <c r="K525" s="86">
        <f>AC511+2*L502</f>
        <v>241.66666666666669</v>
      </c>
      <c r="L525" s="86">
        <f>J525*1.5*((K525-G525)*500/2+(K525-G525)*500)</f>
        <v>0.12335024483528532</v>
      </c>
      <c r="M525" s="62" t="s">
        <v>59</v>
      </c>
      <c r="N525" s="86">
        <v>1.0057843482789107E-9</v>
      </c>
      <c r="O525" s="86">
        <f>AC512+3*L502</f>
        <v>307.33333333333337</v>
      </c>
      <c r="P525" s="86">
        <f>N525*1.5*((O525-K525)*500/2)</f>
        <v>2.4767439576368183E-5</v>
      </c>
    </row>
    <row r="526" spans="1:33" x14ac:dyDescent="0.25">
      <c r="A526" s="86"/>
      <c r="B526" s="86"/>
      <c r="C526" s="89" t="s">
        <v>89</v>
      </c>
      <c r="D526" s="89">
        <f>SUM(D524:D525)</f>
        <v>375.13259312187324</v>
      </c>
      <c r="E526" s="62" t="s">
        <v>52</v>
      </c>
      <c r="F526" s="86">
        <v>0.99960260279304958</v>
      </c>
      <c r="G526" s="86">
        <f>AC510+0*L502</f>
        <v>140</v>
      </c>
      <c r="H526" s="86">
        <f>F526*1.5*((G526-F510)*500/2+(G526-F512)*500)</f>
        <v>46481.521029876807</v>
      </c>
      <c r="I526" s="62" t="s">
        <v>56</v>
      </c>
      <c r="J526" s="86">
        <v>3.0482757942462011E-5</v>
      </c>
      <c r="K526" s="86">
        <f>AC511+1*L502</f>
        <v>229.66666666666669</v>
      </c>
      <c r="L526" s="86">
        <f>J526*1.5*((K526-G526)*500/2+(K526-G526)*500)</f>
        <v>3.0749482074458561</v>
      </c>
      <c r="M526" s="62" t="s">
        <v>60</v>
      </c>
      <c r="N526" s="86">
        <v>4.2079400214751272E-6</v>
      </c>
      <c r="O526" s="86">
        <f>AC512+2*L502</f>
        <v>295.33333333333337</v>
      </c>
      <c r="P526" s="86">
        <f>N526*1.5*((O526-K526)*500/2)</f>
        <v>0.10362052302882503</v>
      </c>
    </row>
    <row r="527" spans="1:33" x14ac:dyDescent="0.25">
      <c r="A527" s="86"/>
      <c r="B527" s="86"/>
      <c r="C527" s="86"/>
      <c r="D527" s="86"/>
      <c r="E527" s="86"/>
      <c r="F527" s="86"/>
      <c r="G527" s="89" t="s">
        <v>79</v>
      </c>
      <c r="H527" s="89">
        <f>SUM(H524:H526)</f>
        <v>46508.941681089891</v>
      </c>
      <c r="I527" s="62" t="s">
        <v>52</v>
      </c>
      <c r="J527" s="86">
        <v>0.99655390016567336</v>
      </c>
      <c r="K527" s="86">
        <f>AC511+0*L502</f>
        <v>217.66666666666669</v>
      </c>
      <c r="L527" s="86">
        <f>J527*1.5*((K527-G526)*500/2+(K527-G526)*500)</f>
        <v>87073.897026975741</v>
      </c>
      <c r="M527" s="62" t="s">
        <v>56</v>
      </c>
      <c r="N527" s="86">
        <v>4.3057551294972884E-3</v>
      </c>
      <c r="O527" s="86">
        <f>AC512+1*L502</f>
        <v>283.33333333333337</v>
      </c>
      <c r="P527" s="86">
        <f>N527*1.5*((O527-K527)*500/2)</f>
        <v>106.02922006387075</v>
      </c>
    </row>
    <row r="528" spans="1:33" x14ac:dyDescent="0.25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9" t="s">
        <v>79</v>
      </c>
      <c r="L528" s="89">
        <f>SUM(L524:L527)</f>
        <v>87077.09532876352</v>
      </c>
      <c r="M528" s="62" t="s">
        <v>52</v>
      </c>
      <c r="N528" s="86">
        <v>0.99569003583742699</v>
      </c>
      <c r="O528" s="86">
        <f>AC512+0*L502</f>
        <v>271.33333333333337</v>
      </c>
      <c r="P528" s="86">
        <f>N528*1.5*((O528-K527)*500/2)</f>
        <v>20038.261971228225</v>
      </c>
      <c r="Q528" s="179" t="s">
        <v>80</v>
      </c>
      <c r="R528" s="179"/>
      <c r="S528" s="180">
        <f>D526+H527+L528+P529</f>
        <v>154105.56443955854</v>
      </c>
      <c r="T528" s="180"/>
    </row>
    <row r="529" spans="1:22" x14ac:dyDescent="0.25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9" t="s">
        <v>79</v>
      </c>
      <c r="P529" s="89">
        <f>SUM(P524:P528)</f>
        <v>20144.394836583269</v>
      </c>
      <c r="Q529" s="179"/>
      <c r="R529" s="179"/>
      <c r="S529" s="180"/>
      <c r="T529" s="180"/>
    </row>
    <row r="530" spans="1:22" x14ac:dyDescent="0.25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</row>
    <row r="531" spans="1:22" x14ac:dyDescent="0.25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</row>
    <row r="532" spans="1:22" x14ac:dyDescent="0.25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</row>
    <row r="533" spans="1:22" ht="24.75" thickBot="1" x14ac:dyDescent="0.3">
      <c r="O533" s="131" t="s">
        <v>81</v>
      </c>
      <c r="P533" s="131"/>
      <c r="Q533" s="131">
        <f>(R519+P519+M520+S528)/AC512</f>
        <v>1072.4257398343004</v>
      </c>
      <c r="R533" s="131"/>
    </row>
    <row r="534" spans="1:22" x14ac:dyDescent="0.25">
      <c r="A534" s="181" t="s">
        <v>119</v>
      </c>
      <c r="B534" s="182"/>
    </row>
    <row r="535" spans="1:22" ht="15.75" thickBot="1" x14ac:dyDescent="0.3">
      <c r="A535" s="183"/>
      <c r="B535" s="184"/>
    </row>
    <row r="536" spans="1:22" ht="21" x14ac:dyDescent="0.35">
      <c r="A536" s="185" t="s">
        <v>14</v>
      </c>
      <c r="B536" s="185"/>
      <c r="C536" s="165"/>
      <c r="D536" s="165"/>
      <c r="E536" s="165"/>
      <c r="F536" s="165"/>
      <c r="G536" s="165"/>
      <c r="H536" s="165"/>
      <c r="I536" s="165"/>
      <c r="J536" s="165"/>
      <c r="K536" s="165"/>
      <c r="L536" s="165"/>
      <c r="M536" s="165"/>
      <c r="O536" s="166" t="s">
        <v>72</v>
      </c>
      <c r="P536" s="166"/>
      <c r="Q536" s="166"/>
      <c r="R536" s="166"/>
      <c r="S536" s="166"/>
      <c r="T536" s="166"/>
      <c r="U536" s="166"/>
      <c r="V536" s="166"/>
    </row>
    <row r="537" spans="1:22" ht="36" x14ac:dyDescent="0.25">
      <c r="A537" s="4" t="s">
        <v>15</v>
      </c>
      <c r="B537" s="4" t="s">
        <v>16</v>
      </c>
      <c r="C537" s="4" t="s">
        <v>31</v>
      </c>
      <c r="D537" s="6" t="s">
        <v>17</v>
      </c>
      <c r="E537" s="6" t="s">
        <v>18</v>
      </c>
      <c r="F537" s="6" t="s">
        <v>19</v>
      </c>
      <c r="G537" s="6" t="s">
        <v>20</v>
      </c>
      <c r="H537" s="6" t="s">
        <v>21</v>
      </c>
      <c r="I537" s="6" t="s">
        <v>22</v>
      </c>
      <c r="J537" s="6" t="s">
        <v>23</v>
      </c>
      <c r="K537" s="6" t="s">
        <v>24</v>
      </c>
      <c r="L537" s="6" t="s">
        <v>25</v>
      </c>
      <c r="M537" s="6" t="s">
        <v>26</v>
      </c>
      <c r="N537" s="8"/>
      <c r="O537" s="167" t="s">
        <v>32</v>
      </c>
      <c r="P537" s="167" t="s">
        <v>35</v>
      </c>
      <c r="Q537" s="167" t="s">
        <v>66</v>
      </c>
      <c r="R537" s="99" t="s">
        <v>67</v>
      </c>
      <c r="S537" s="99" t="s">
        <v>68</v>
      </c>
      <c r="T537" s="167" t="s">
        <v>69</v>
      </c>
      <c r="U537" s="71" t="s">
        <v>33</v>
      </c>
      <c r="V537" s="99" t="s">
        <v>70</v>
      </c>
    </row>
    <row r="538" spans="1:22" x14ac:dyDescent="0.25">
      <c r="A538" s="3" t="s">
        <v>27</v>
      </c>
      <c r="B538" s="3">
        <v>0</v>
      </c>
      <c r="C538" s="3">
        <v>0.3</v>
      </c>
      <c r="D538" s="3">
        <v>243</v>
      </c>
      <c r="E538" s="3">
        <v>1.73</v>
      </c>
      <c r="F538" s="3">
        <v>5</v>
      </c>
      <c r="G538" s="169">
        <v>12</v>
      </c>
      <c r="H538" s="3">
        <v>1820</v>
      </c>
      <c r="I538" s="169">
        <v>19645</v>
      </c>
      <c r="J538" s="3">
        <v>20</v>
      </c>
      <c r="K538" s="3">
        <v>40</v>
      </c>
      <c r="L538" s="3">
        <v>500</v>
      </c>
      <c r="M538" s="3">
        <v>1000</v>
      </c>
      <c r="O538" s="168"/>
      <c r="P538" s="168"/>
      <c r="Q538" s="168"/>
      <c r="R538" s="72" t="s">
        <v>71</v>
      </c>
      <c r="S538" s="72" t="s">
        <v>71</v>
      </c>
      <c r="T538" s="168"/>
      <c r="U538" s="73">
        <v>500</v>
      </c>
      <c r="V538" s="3">
        <v>1.5</v>
      </c>
    </row>
    <row r="539" spans="1:22" x14ac:dyDescent="0.25">
      <c r="A539" s="3" t="s">
        <v>28</v>
      </c>
      <c r="B539" s="3">
        <v>0</v>
      </c>
      <c r="C539" s="3">
        <v>0.3</v>
      </c>
      <c r="D539" s="3">
        <v>254</v>
      </c>
      <c r="E539" s="3">
        <v>1.88</v>
      </c>
      <c r="F539" s="3">
        <v>3</v>
      </c>
      <c r="G539" s="170"/>
      <c r="H539" s="3">
        <v>2720</v>
      </c>
      <c r="I539" s="170"/>
      <c r="J539" s="5"/>
      <c r="K539" s="5"/>
      <c r="L539" s="5"/>
      <c r="M539" s="5"/>
      <c r="O539" s="74">
        <v>1</v>
      </c>
      <c r="P539" s="74">
        <v>106</v>
      </c>
      <c r="Q539" s="74">
        <v>110</v>
      </c>
      <c r="R539" s="74">
        <v>6</v>
      </c>
      <c r="S539" s="74">
        <v>5</v>
      </c>
      <c r="T539" s="74">
        <f>R539*$U$5/60+S539</f>
        <v>55</v>
      </c>
      <c r="U539" s="75"/>
    </row>
    <row r="540" spans="1:22" x14ac:dyDescent="0.25">
      <c r="A540" s="3" t="s">
        <v>29</v>
      </c>
      <c r="B540" s="3">
        <v>0</v>
      </c>
      <c r="C540" s="3">
        <v>0.3</v>
      </c>
      <c r="D540" s="3">
        <v>143</v>
      </c>
      <c r="E540" s="3">
        <v>2.4300000000000002</v>
      </c>
      <c r="F540" s="3">
        <v>8</v>
      </c>
      <c r="G540" s="170"/>
      <c r="H540" s="3">
        <v>3700</v>
      </c>
      <c r="I540" s="170"/>
      <c r="J540" s="5"/>
      <c r="K540" s="140" t="s">
        <v>73</v>
      </c>
      <c r="L540" s="141">
        <v>12</v>
      </c>
      <c r="M540" s="140" t="s">
        <v>74</v>
      </c>
      <c r="N540" s="141">
        <v>19645</v>
      </c>
      <c r="O540" s="74">
        <v>2</v>
      </c>
      <c r="P540" s="74">
        <v>76</v>
      </c>
      <c r="Q540" s="74">
        <v>40</v>
      </c>
      <c r="R540" s="74">
        <v>9</v>
      </c>
      <c r="S540" s="74">
        <v>2</v>
      </c>
      <c r="T540" s="74">
        <f t="shared" ref="T540:T542" si="56">R540*$U$5/60+S540</f>
        <v>77</v>
      </c>
      <c r="U540" s="75"/>
    </row>
    <row r="541" spans="1:22" x14ac:dyDescent="0.25">
      <c r="A541" s="3" t="s">
        <v>30</v>
      </c>
      <c r="B541" s="3">
        <v>0</v>
      </c>
      <c r="C541" s="3">
        <v>0.3</v>
      </c>
      <c r="D541" s="3">
        <v>449</v>
      </c>
      <c r="E541" s="3">
        <v>2.5299999999999998</v>
      </c>
      <c r="F541" s="3">
        <v>4</v>
      </c>
      <c r="G541" s="171"/>
      <c r="H541" s="3">
        <v>4320</v>
      </c>
      <c r="I541" s="171"/>
      <c r="J541" s="5"/>
      <c r="K541" s="140"/>
      <c r="L541" s="141"/>
      <c r="M541" s="140"/>
      <c r="N541" s="141"/>
      <c r="O541" s="74">
        <v>3</v>
      </c>
      <c r="P541" s="74">
        <v>95</v>
      </c>
      <c r="Q541" s="74">
        <v>67</v>
      </c>
      <c r="R541" s="74">
        <v>5</v>
      </c>
      <c r="S541" s="74">
        <v>4</v>
      </c>
      <c r="T541" s="74">
        <f t="shared" si="56"/>
        <v>45.666666666666664</v>
      </c>
      <c r="U541" s="75"/>
    </row>
    <row r="542" spans="1:22" ht="15.75" thickBo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O542" s="74">
        <v>4</v>
      </c>
      <c r="P542" s="74">
        <v>140</v>
      </c>
      <c r="Q542" s="94">
        <v>85</v>
      </c>
      <c r="R542" s="94">
        <v>8</v>
      </c>
      <c r="S542" s="94">
        <v>3</v>
      </c>
      <c r="T542" s="74">
        <f t="shared" si="56"/>
        <v>69.666666666666671</v>
      </c>
    </row>
    <row r="543" spans="1:22" x14ac:dyDescent="0.25">
      <c r="A543" s="142" t="s">
        <v>36</v>
      </c>
      <c r="B543" s="144" t="s">
        <v>106</v>
      </c>
      <c r="C543" s="144"/>
      <c r="D543" s="144"/>
      <c r="E543" s="144"/>
      <c r="F543" s="20" t="s">
        <v>27</v>
      </c>
      <c r="G543" s="20" t="s">
        <v>28</v>
      </c>
      <c r="H543" s="20" t="s">
        <v>29</v>
      </c>
      <c r="I543" s="20" t="s">
        <v>30</v>
      </c>
    </row>
    <row r="544" spans="1:22" ht="15.75" thickBot="1" x14ac:dyDescent="0.3">
      <c r="A544" s="143"/>
      <c r="B544" s="145"/>
      <c r="C544" s="145"/>
      <c r="D544" s="145"/>
      <c r="E544" s="145"/>
      <c r="F544" s="20">
        <v>126</v>
      </c>
      <c r="G544" s="26">
        <v>91</v>
      </c>
      <c r="H544" s="26">
        <v>67</v>
      </c>
      <c r="I544" s="26">
        <v>201</v>
      </c>
    </row>
    <row r="545" spans="1:34" ht="15.75" thickBot="1" x14ac:dyDescent="0.3">
      <c r="A545" s="143"/>
      <c r="B545" s="145"/>
      <c r="C545" s="145"/>
      <c r="D545" s="145"/>
      <c r="E545" s="145"/>
      <c r="F545" s="7"/>
      <c r="G545" s="146" t="s">
        <v>27</v>
      </c>
      <c r="H545" s="147"/>
      <c r="I545" s="147"/>
      <c r="J545" s="147"/>
      <c r="K545" s="148"/>
      <c r="L545" s="149" t="s">
        <v>28</v>
      </c>
      <c r="M545" s="150"/>
      <c r="N545" s="150"/>
      <c r="O545" s="150"/>
      <c r="P545" s="151"/>
      <c r="Q545" s="152" t="s">
        <v>29</v>
      </c>
      <c r="R545" s="153"/>
      <c r="S545" s="153"/>
      <c r="T545" s="153"/>
      <c r="U545" s="154"/>
      <c r="V545" s="155" t="s">
        <v>30</v>
      </c>
      <c r="W545" s="156"/>
      <c r="X545" s="156"/>
      <c r="Y545" s="156"/>
      <c r="Z545" s="157"/>
      <c r="AA545" s="158" t="s">
        <v>42</v>
      </c>
      <c r="AB545" s="159"/>
      <c r="AC545" s="160" t="s">
        <v>44</v>
      </c>
      <c r="AD545" s="162" t="s">
        <v>47</v>
      </c>
      <c r="AE545" s="163"/>
      <c r="AF545" s="163"/>
      <c r="AG545" s="164"/>
      <c r="AH545" s="138" t="s">
        <v>62</v>
      </c>
    </row>
    <row r="546" spans="1:34" ht="36.75" x14ac:dyDescent="0.25">
      <c r="A546" s="21" t="s">
        <v>32</v>
      </c>
      <c r="B546" s="22" t="s">
        <v>37</v>
      </c>
      <c r="C546" s="23" t="s">
        <v>33</v>
      </c>
      <c r="D546" s="22" t="s">
        <v>38</v>
      </c>
      <c r="E546" s="22" t="s">
        <v>34</v>
      </c>
      <c r="F546" s="25" t="s">
        <v>35</v>
      </c>
      <c r="G546" s="27" t="s">
        <v>39</v>
      </c>
      <c r="H546" s="10" t="s">
        <v>40</v>
      </c>
      <c r="I546" s="10" t="s">
        <v>45</v>
      </c>
      <c r="J546" s="10" t="s">
        <v>46</v>
      </c>
      <c r="K546" s="28" t="s">
        <v>41</v>
      </c>
      <c r="L546" s="30" t="s">
        <v>39</v>
      </c>
      <c r="M546" s="13" t="s">
        <v>40</v>
      </c>
      <c r="N546" s="13" t="s">
        <v>45</v>
      </c>
      <c r="O546" s="13" t="s">
        <v>46</v>
      </c>
      <c r="P546" s="31" t="s">
        <v>41</v>
      </c>
      <c r="Q546" s="33" t="s">
        <v>39</v>
      </c>
      <c r="R546" s="12" t="s">
        <v>40</v>
      </c>
      <c r="S546" s="12" t="s">
        <v>45</v>
      </c>
      <c r="T546" s="12" t="s">
        <v>46</v>
      </c>
      <c r="U546" s="34" t="s">
        <v>41</v>
      </c>
      <c r="V546" s="36" t="s">
        <v>39</v>
      </c>
      <c r="W546" s="11" t="s">
        <v>40</v>
      </c>
      <c r="X546" s="11" t="s">
        <v>45</v>
      </c>
      <c r="Y546" s="11" t="s">
        <v>46</v>
      </c>
      <c r="Z546" s="37" t="s">
        <v>41</v>
      </c>
      <c r="AA546" s="39" t="s">
        <v>41</v>
      </c>
      <c r="AB546" s="40" t="s">
        <v>43</v>
      </c>
      <c r="AC546" s="161"/>
      <c r="AD546" s="43" t="s">
        <v>27</v>
      </c>
      <c r="AE546" s="1" t="s">
        <v>28</v>
      </c>
      <c r="AF546" s="1" t="s">
        <v>29</v>
      </c>
      <c r="AG546" s="1" t="s">
        <v>30</v>
      </c>
      <c r="AH546" s="139"/>
    </row>
    <row r="547" spans="1:34" x14ac:dyDescent="0.25">
      <c r="A547" s="24">
        <v>2</v>
      </c>
      <c r="B547" s="9">
        <v>9</v>
      </c>
      <c r="C547" s="9">
        <v>500</v>
      </c>
      <c r="D547" s="9">
        <v>2</v>
      </c>
      <c r="E547" s="48">
        <f>B547*C547/60+D547</f>
        <v>77</v>
      </c>
      <c r="F547" s="100">
        <v>76</v>
      </c>
      <c r="G547" s="49">
        <f>B$5*(1-AD547*C$5)</f>
        <v>0</v>
      </c>
      <c r="H547" s="50">
        <f>G547+E547</f>
        <v>77</v>
      </c>
      <c r="I547" s="15">
        <f>(H547/D$5)^E$5</f>
        <v>0.13693992990275231</v>
      </c>
      <c r="J547" s="15">
        <f>(G547/D$5)^E$5</f>
        <v>0</v>
      </c>
      <c r="K547" s="29">
        <f>1-EXP(J547-I547)</f>
        <v>0.1279773929583623</v>
      </c>
      <c r="L547" s="51">
        <f>B$6*(1-AE547*C$6)</f>
        <v>0</v>
      </c>
      <c r="M547" s="52">
        <f>L547+E547</f>
        <v>77</v>
      </c>
      <c r="N547" s="17">
        <f>(M547/D$6)^E$6</f>
        <v>0.10605109964467559</v>
      </c>
      <c r="O547" s="17">
        <f>(L547/D$6)^E$6</f>
        <v>0</v>
      </c>
      <c r="P547" s="32">
        <f>1-EXP(O547-N547)</f>
        <v>0.10062131102974814</v>
      </c>
      <c r="Q547" s="53">
        <f>B$7*(1-AF547*C$7)</f>
        <v>0</v>
      </c>
      <c r="R547" s="54">
        <f>Q547+E547</f>
        <v>77</v>
      </c>
      <c r="S547" s="16">
        <f>(R547/D$7)^E$7</f>
        <v>0.2221804751105394</v>
      </c>
      <c r="T547" s="16">
        <f>(Q547/D$7)^E$7</f>
        <v>0</v>
      </c>
      <c r="U547" s="35">
        <f>1-EXP(T547-S547)</f>
        <v>0.19922916791162293</v>
      </c>
      <c r="V547" s="55">
        <f>B$8*(1-AG547*C$8)</f>
        <v>0</v>
      </c>
      <c r="W547" s="56">
        <f>V547+E547</f>
        <v>77</v>
      </c>
      <c r="X547" s="18">
        <f>(W547/D$8)^E$8</f>
        <v>1.1551497592884551E-2</v>
      </c>
      <c r="Y547" s="18">
        <f>(V547/D$8)^E$8</f>
        <v>0</v>
      </c>
      <c r="Z547" s="38">
        <f>1-EXP(Y547-X547)</f>
        <v>1.1485035204098715E-2</v>
      </c>
      <c r="AA547" s="41">
        <f>K547*P547*U547*Z547</f>
        <v>2.9465138194053318E-5</v>
      </c>
      <c r="AB547" s="42">
        <f>1-AA547</f>
        <v>0.99997053486180598</v>
      </c>
      <c r="AC547" s="47">
        <f>(AD547*F$5+AE547*F$6+AF547*F$7+AG547*F$8)+E547</f>
        <v>77</v>
      </c>
      <c r="AD547" s="43">
        <v>0</v>
      </c>
      <c r="AE547" s="1">
        <v>0</v>
      </c>
      <c r="AF547" s="1">
        <v>0</v>
      </c>
      <c r="AG547" s="1">
        <v>0</v>
      </c>
      <c r="AH547" s="74">
        <v>40</v>
      </c>
    </row>
    <row r="548" spans="1:34" x14ac:dyDescent="0.25">
      <c r="A548" s="76">
        <v>3</v>
      </c>
      <c r="B548" s="58">
        <v>5</v>
      </c>
      <c r="C548" s="9">
        <v>500</v>
      </c>
      <c r="D548" s="58">
        <v>4</v>
      </c>
      <c r="E548" s="48">
        <f t="shared" ref="E548:E550" si="57">B548*C548/60+D548</f>
        <v>45.666666666666664</v>
      </c>
      <c r="F548" s="100">
        <v>95</v>
      </c>
      <c r="G548" s="49">
        <f>H547*(1-AD548*C$5)</f>
        <v>77</v>
      </c>
      <c r="H548" s="50">
        <f>G548+E548</f>
        <v>122.66666666666666</v>
      </c>
      <c r="I548" s="15">
        <f>(H548/D$5)^E$5</f>
        <v>0.30647715135734394</v>
      </c>
      <c r="J548" s="15">
        <f>(G548/D$5)^E$5</f>
        <v>0.13693992990275231</v>
      </c>
      <c r="K548" s="29">
        <f>1-EXP(J548-I548)</f>
        <v>0.15594466307173371</v>
      </c>
      <c r="L548" s="51">
        <f>M547*(1-AE548*C$6)</f>
        <v>77</v>
      </c>
      <c r="M548" s="52">
        <f>L548+E548</f>
        <v>122.66666666666666</v>
      </c>
      <c r="N548" s="17">
        <f>(M548/D$6)^E$6</f>
        <v>0.25451802994245737</v>
      </c>
      <c r="O548" s="17">
        <f>(L548/D$6)^E$6</f>
        <v>0.10605109964467559</v>
      </c>
      <c r="P548" s="32">
        <f>1-EXP(O548-N548)</f>
        <v>0.13797148627460298</v>
      </c>
      <c r="Q548" s="53">
        <f>R547*(1-AF548*C$7)</f>
        <v>53.9</v>
      </c>
      <c r="R548" s="54">
        <f>Q548+E548</f>
        <v>99.566666666666663</v>
      </c>
      <c r="S548" s="16">
        <f>(R548/D$7)^E$7</f>
        <v>0.41490662639502834</v>
      </c>
      <c r="T548" s="16">
        <f>(Q548/D$7)^E$7</f>
        <v>9.3388656656360772E-2</v>
      </c>
      <c r="U548" s="35">
        <f>1-EXP(T548-S548)</f>
        <v>0.27495239900553381</v>
      </c>
      <c r="V548" s="55">
        <f>W547*(1-AG548*C$8)</f>
        <v>77</v>
      </c>
      <c r="W548" s="56">
        <f>V548+E548</f>
        <v>122.66666666666666</v>
      </c>
      <c r="X548" s="18">
        <f>(W548/D$8)^E$8</f>
        <v>3.7522776286050503E-2</v>
      </c>
      <c r="Y548" s="18">
        <f>(V548/D$8)^E$8</f>
        <v>1.1551497592884551E-2</v>
      </c>
      <c r="Z548" s="38">
        <f>1-EXP(Y548-X548)</f>
        <v>2.563692581230792E-2</v>
      </c>
      <c r="AA548" s="41">
        <f>K548*P548*U548*Z548</f>
        <v>1.5166428395507926E-4</v>
      </c>
      <c r="AB548" s="42">
        <f>1-AA548</f>
        <v>0.99984833571604492</v>
      </c>
      <c r="AC548" s="47">
        <f>AF548*F$7+E548+AC547</f>
        <v>130.66666666666666</v>
      </c>
      <c r="AD548" s="43">
        <v>0</v>
      </c>
      <c r="AE548" s="1">
        <v>0</v>
      </c>
      <c r="AF548" s="1">
        <v>1</v>
      </c>
      <c r="AG548" s="1">
        <v>0</v>
      </c>
      <c r="AH548" s="74">
        <v>67</v>
      </c>
    </row>
    <row r="549" spans="1:34" x14ac:dyDescent="0.25">
      <c r="A549" s="24">
        <v>1</v>
      </c>
      <c r="B549" s="9">
        <v>6</v>
      </c>
      <c r="C549" s="58">
        <v>500</v>
      </c>
      <c r="D549" s="58">
        <v>5</v>
      </c>
      <c r="E549" s="48">
        <f t="shared" si="57"/>
        <v>55</v>
      </c>
      <c r="F549" s="100">
        <v>106</v>
      </c>
      <c r="G549" s="68">
        <f>H548*(1-AD549*C$5)</f>
        <v>85.86666666666666</v>
      </c>
      <c r="H549" s="69">
        <f>G549+E549</f>
        <v>140.86666666666667</v>
      </c>
      <c r="I549" s="70">
        <f>(H549/D$5)^E$5</f>
        <v>0.3893493001630618</v>
      </c>
      <c r="J549" s="70">
        <f>(G549/D$5)^E$5</f>
        <v>0.16535514464725598</v>
      </c>
      <c r="K549" s="29">
        <f>1-EXP(J549-I549)</f>
        <v>0.20068019403231441</v>
      </c>
      <c r="L549" s="51">
        <f>M548*(1-AE549*C$6)</f>
        <v>85.86666666666666</v>
      </c>
      <c r="M549" s="52">
        <f>L549+E549</f>
        <v>140.86666666666667</v>
      </c>
      <c r="N549" s="17">
        <f>(M549/D$6)^E$6</f>
        <v>0.33012020048485397</v>
      </c>
      <c r="O549" s="17">
        <f>(L549/D$6)^E$6</f>
        <v>0.13016759122196553</v>
      </c>
      <c r="P549" s="32">
        <f>1-EXP(O549-N549)</f>
        <v>0.18123044574873304</v>
      </c>
      <c r="Q549" s="53">
        <f>R548*(1-AF549*C$7)</f>
        <v>69.696666666666658</v>
      </c>
      <c r="R549" s="54">
        <f>Q549+E549</f>
        <v>124.69666666666666</v>
      </c>
      <c r="S549" s="16">
        <f>(R549/D$7)^E$7</f>
        <v>0.71690349981137425</v>
      </c>
      <c r="T549" s="16">
        <f>(Q549/D$7)^E$7</f>
        <v>0.17439683868520187</v>
      </c>
      <c r="U549" s="35">
        <f>1-EXP(T549-S549)</f>
        <v>0.41871067073974322</v>
      </c>
      <c r="V549" s="55">
        <f>W548*(1-AG549*C$8)</f>
        <v>122.66666666666666</v>
      </c>
      <c r="W549" s="56">
        <f>V549+E549</f>
        <v>177.66666666666666</v>
      </c>
      <c r="X549" s="18">
        <f>(W549/D$8)^E$8</f>
        <v>9.5789922449281015E-2</v>
      </c>
      <c r="Y549" s="18">
        <f>(V549/D$8)^E$8</f>
        <v>3.7522776286050503E-2</v>
      </c>
      <c r="Z549" s="38">
        <f>1-EXP(Y549-X549)</f>
        <v>5.6602111356323093E-2</v>
      </c>
      <c r="AA549" s="41">
        <f>K549*P549*U549*Z549</f>
        <v>8.6195051054227783E-4</v>
      </c>
      <c r="AB549" s="42">
        <f>1-AA549</f>
        <v>0.99913804948945772</v>
      </c>
      <c r="AC549" s="47">
        <f>(AF549*F$7)+E549+AC548</f>
        <v>193.66666666666666</v>
      </c>
      <c r="AD549" s="77">
        <v>1</v>
      </c>
      <c r="AE549" s="78">
        <v>1</v>
      </c>
      <c r="AF549" s="78">
        <v>1</v>
      </c>
      <c r="AG549" s="78">
        <v>0</v>
      </c>
      <c r="AH549" s="74">
        <v>110</v>
      </c>
    </row>
    <row r="550" spans="1:34" ht="15.75" thickBot="1" x14ac:dyDescent="0.3">
      <c r="A550" s="57">
        <v>4</v>
      </c>
      <c r="B550" s="58">
        <v>8</v>
      </c>
      <c r="C550" s="58">
        <v>500</v>
      </c>
      <c r="D550" s="9">
        <v>3</v>
      </c>
      <c r="E550" s="48">
        <f t="shared" si="57"/>
        <v>69.666666666666671</v>
      </c>
      <c r="F550" s="100">
        <v>140</v>
      </c>
      <c r="G550" s="68">
        <f>H549*(1-AD550*C$5)</f>
        <v>98.606666666666669</v>
      </c>
      <c r="H550" s="69">
        <f>G550+E550</f>
        <v>168.27333333333334</v>
      </c>
      <c r="I550" s="70">
        <f>(H550/D$5)^E$5</f>
        <v>0.52955077969900988</v>
      </c>
      <c r="J550" s="70">
        <f>(G550/D$5)^E$5</f>
        <v>0.21006756804426371</v>
      </c>
      <c r="K550" s="29">
        <f>1-EXP(J550-I550)</f>
        <v>0.27347560058394416</v>
      </c>
      <c r="L550" s="51">
        <f>M549*(1-AE550*C$6)</f>
        <v>98.606666666666669</v>
      </c>
      <c r="M550" s="52">
        <f>L550+E550</f>
        <v>168.27333333333334</v>
      </c>
      <c r="N550" s="17">
        <f>(M550/D$6)^E$6</f>
        <v>0.46112787141135408</v>
      </c>
      <c r="O550" s="17">
        <f>(L550/D$6)^E$6</f>
        <v>0.16883264152461361</v>
      </c>
      <c r="P550" s="32">
        <f>1-EXP(O550-N550)</f>
        <v>0.25345189987571315</v>
      </c>
      <c r="Q550" s="53">
        <f>R549*(1-AF550*C$7)</f>
        <v>87.287666666666652</v>
      </c>
      <c r="R550" s="54">
        <f>Q550+E550</f>
        <v>156.95433333333332</v>
      </c>
      <c r="S550" s="16">
        <f>(R550/D$7)^E$7</f>
        <v>1.2538990509836898</v>
      </c>
      <c r="T550" s="16">
        <f>(Q550/D$7)^E$7</f>
        <v>0.30133455591144298</v>
      </c>
      <c r="U550" s="35">
        <f>1-EXP(T550-S550)</f>
        <v>0.61424950135352907</v>
      </c>
      <c r="V550" s="55">
        <f>W549*(1-AG550*C$8)</f>
        <v>124.36666666666665</v>
      </c>
      <c r="W550" s="56">
        <f>V550+E550</f>
        <v>194.0333333333333</v>
      </c>
      <c r="X550" s="18">
        <f>(W550/D$8)^E$8</f>
        <v>0.11971371522436358</v>
      </c>
      <c r="Y550" s="18">
        <f>(V550/D$8)^E$8</f>
        <v>3.8852401036237806E-2</v>
      </c>
      <c r="Z550" s="38">
        <f>1-EXP(Y550-X550)</f>
        <v>7.7678404505555187E-2</v>
      </c>
      <c r="AA550" s="41">
        <f>K550*P550*U550*Z550</f>
        <v>3.3071907538564428E-3</v>
      </c>
      <c r="AB550" s="42">
        <f>1-AA550</f>
        <v>0.99669280924614356</v>
      </c>
      <c r="AC550" s="47">
        <f>(AF550*F$7)+E550+AC549</f>
        <v>271.33333333333331</v>
      </c>
      <c r="AD550" s="80">
        <v>1</v>
      </c>
      <c r="AE550" s="45">
        <v>1</v>
      </c>
      <c r="AF550" s="81">
        <v>1</v>
      </c>
      <c r="AG550" s="45">
        <v>1</v>
      </c>
      <c r="AH550" s="94">
        <v>85</v>
      </c>
    </row>
    <row r="551" spans="1:34" ht="18.75" x14ac:dyDescent="0.3">
      <c r="A551" s="132" t="s">
        <v>53</v>
      </c>
      <c r="B551" s="132"/>
      <c r="C551" s="132"/>
      <c r="D551" s="132"/>
      <c r="E551" s="132"/>
      <c r="F551" s="132"/>
      <c r="G551" s="132"/>
      <c r="H551" s="132"/>
      <c r="I551" s="132"/>
      <c r="J551" s="132"/>
      <c r="AG551" s="46"/>
    </row>
    <row r="552" spans="1:34" ht="15.75" x14ac:dyDescent="0.25">
      <c r="A552" s="19" t="s">
        <v>48</v>
      </c>
      <c r="B552" s="60" t="s">
        <v>49</v>
      </c>
      <c r="C552" s="61" t="s">
        <v>50</v>
      </c>
      <c r="D552" s="19" t="s">
        <v>54</v>
      </c>
      <c r="E552" s="60" t="s">
        <v>57</v>
      </c>
      <c r="F552" s="61" t="s">
        <v>50</v>
      </c>
      <c r="G552" s="19" t="s">
        <v>58</v>
      </c>
      <c r="H552" s="60" t="s">
        <v>61</v>
      </c>
      <c r="I552" s="61" t="s">
        <v>50</v>
      </c>
      <c r="J552" s="19" t="s">
        <v>82</v>
      </c>
      <c r="K552" s="83" t="s">
        <v>84</v>
      </c>
      <c r="L552" s="61" t="s">
        <v>50</v>
      </c>
      <c r="M552" s="61" t="s">
        <v>85</v>
      </c>
      <c r="O552" s="174" t="s">
        <v>64</v>
      </c>
      <c r="P552" s="174"/>
      <c r="Q552" s="175" t="s">
        <v>109</v>
      </c>
      <c r="R552" s="175"/>
    </row>
    <row r="553" spans="1:34" ht="24.75" x14ac:dyDescent="0.25">
      <c r="A553" s="61" t="s">
        <v>51</v>
      </c>
      <c r="B553" s="1">
        <f>AA547</f>
        <v>2.9465138194053318E-5</v>
      </c>
      <c r="C553" s="59">
        <f>MAX(AC547+1*L540-F547,0)</f>
        <v>13</v>
      </c>
      <c r="D553" s="62" t="s">
        <v>55</v>
      </c>
      <c r="E553" s="1">
        <f>AA547*AA548</f>
        <v>4.4688090858385535E-9</v>
      </c>
      <c r="F553" s="1">
        <f>MAX(AC548+2*L540-F548,0)</f>
        <v>59.666666666666657</v>
      </c>
      <c r="G553" s="62" t="s">
        <v>59</v>
      </c>
      <c r="H553" s="1">
        <f>AA547*AA548*AA549</f>
        <v>3.8518922730545109E-12</v>
      </c>
      <c r="I553" s="1">
        <f>AC549+3*L540-F549</f>
        <v>123.66666666666666</v>
      </c>
      <c r="J553" s="62" t="s">
        <v>83</v>
      </c>
      <c r="K553" s="1">
        <f>AA547*AA548*AA549*AA550</f>
        <v>1.2738942510296955E-14</v>
      </c>
      <c r="L553" s="1">
        <f>AC550+4*L540-F550</f>
        <v>179.33333333333331</v>
      </c>
      <c r="M553" s="1">
        <f>B553*C553*AH547+E553*F553*AH548+H553*I553*AH549+K553*L553*AH550</f>
        <v>1.5339789262788379E-2</v>
      </c>
      <c r="O553" s="1" t="s">
        <v>27</v>
      </c>
      <c r="P553" s="1">
        <f>2*H538</f>
        <v>3640</v>
      </c>
      <c r="Q553" s="1">
        <f>(K547*(1-P547)*(1-U547)*(1-Z547))+(P547*(1-K547)*(1-U547)*(1-Z547))+(U547*(1-K547)*(1-P547)*(1-Z547))+(Z547*(1-K547)*(1-P547)*(1-U547))</f>
        <v>0.32223571239848364</v>
      </c>
      <c r="R553" s="1">
        <f>Q553*(L$7*(J$5*K$5+L$5)+I$5)</f>
        <v>11357.197683484555</v>
      </c>
    </row>
    <row r="554" spans="1:34" ht="24.75" x14ac:dyDescent="0.25">
      <c r="A554" s="62" t="s">
        <v>52</v>
      </c>
      <c r="B554" s="1">
        <f>AB547</f>
        <v>0.99997053486180598</v>
      </c>
      <c r="C554" s="59">
        <f>MAX(AC547-F547,0)</f>
        <v>1</v>
      </c>
      <c r="D554" s="62" t="s">
        <v>56</v>
      </c>
      <c r="E554" s="1">
        <f>AA547*AB548+AA548*AB547</f>
        <v>1.8112048453096093E-4</v>
      </c>
      <c r="F554" s="1">
        <f>MAX(AC548+1*L540-F548,0)</f>
        <v>47.666666666666657</v>
      </c>
      <c r="G554" s="62" t="s">
        <v>60</v>
      </c>
      <c r="H554" s="1">
        <f>AA547*AA548*AB549+AA548*AA549*AB547+AA547*AA549*AB548</f>
        <v>1.6058185130469196E-7</v>
      </c>
      <c r="I554" s="1">
        <f>AC549+2*L540-F549</f>
        <v>111.66666666666666</v>
      </c>
      <c r="J554" s="62" t="s">
        <v>59</v>
      </c>
      <c r="K554">
        <f>AB547*AA548*AA549*AA550+AB548*AA547*AA549*AA550*+AB549*AA547*AA548*AA550+AB550*AA547*AA548*AA549</f>
        <v>4.3616589389213759E-10</v>
      </c>
      <c r="L554" s="1">
        <f>AC550+3*L540-F550</f>
        <v>167.33333333333331</v>
      </c>
      <c r="M554" s="1">
        <f>B554*C554*AH547+E554*F554*AH548+H554*I554*AH549+K554*L554*AH550</f>
        <v>40.579238532709034</v>
      </c>
      <c r="O554" s="1" t="s">
        <v>28</v>
      </c>
      <c r="P554" s="1">
        <f>2*H539</f>
        <v>5440</v>
      </c>
      <c r="Q554" s="1">
        <f t="shared" ref="Q554:Q556" si="58">(K548*(1-P548)*(1-U548)*(1-Z548))+(P548*(1-K548)*(1-U548)*(1-Z548))+(U548*(1-K548)*(1-P548)*(1-Z548))+(Z548*(1-K548)*(1-P548)*(1-U548))</f>
        <v>0.38569075254447172</v>
      </c>
      <c r="R554" s="1">
        <f t="shared" ref="R554:R556" si="59">Q554*(L$7*(J$5*K$5+L$5)+I$5)</f>
        <v>13593.670573429905</v>
      </c>
    </row>
    <row r="555" spans="1:34" ht="24.75" x14ac:dyDescent="0.25">
      <c r="A555" s="1"/>
      <c r="B555" s="1"/>
      <c r="C555" s="1"/>
      <c r="D555" s="62" t="s">
        <v>52</v>
      </c>
      <c r="E555" s="1">
        <f>AB547*AB548</f>
        <v>0.99981887504666</v>
      </c>
      <c r="F555" s="59">
        <f>MAX(AC548-F548,0)</f>
        <v>35.666666666666657</v>
      </c>
      <c r="G555" s="62" t="s">
        <v>56</v>
      </c>
      <c r="H555" s="1">
        <f>AA547*AB548*AB549+AA548*AB547*AB549*+AA549*AB547*AB548</f>
        <v>2.9565862667232688E-5</v>
      </c>
      <c r="I555" s="1">
        <f>AC549+1*L540-F549</f>
        <v>99.666666666666657</v>
      </c>
      <c r="J555" s="62" t="s">
        <v>60</v>
      </c>
      <c r="K555" s="1">
        <f>AA547*AA548*AB549*AB550 + AA547*AA549*AB548*AB550 + AA547*AA550*AB548*AB549 + AA548*AA549*AB547*AB550 + AA548*AA550*AB547*AB549 + AA549*AA550*AB547*AB548</f>
        <v>3.6086528975764817E-6</v>
      </c>
      <c r="L555" s="1">
        <f>AC550+2*L540-F550</f>
        <v>155.33333333333331</v>
      </c>
      <c r="M555" s="1">
        <f>B555*C555*AH547+E555*F555*AH548+H555*I555*AH549+K555*L555*AH550</f>
        <v>2389.6056250579677</v>
      </c>
      <c r="O555" s="1" t="s">
        <v>29</v>
      </c>
      <c r="P555" s="1">
        <f>3*(F540*(J538*K538+L538)+H540)</f>
        <v>42300</v>
      </c>
      <c r="Q555" s="1">
        <f t="shared" si="58"/>
        <v>0.44959727196345695</v>
      </c>
      <c r="R555" s="1">
        <f t="shared" si="59"/>
        <v>15846.055850352041</v>
      </c>
    </row>
    <row r="556" spans="1:34" ht="24.75" x14ac:dyDescent="0.25">
      <c r="A556" s="1"/>
      <c r="B556" s="1"/>
      <c r="C556" s="1"/>
      <c r="D556" s="1"/>
      <c r="E556" s="1"/>
      <c r="F556" s="1"/>
      <c r="G556" s="62" t="s">
        <v>52</v>
      </c>
      <c r="H556" s="1">
        <f>AB547*AB548*AB549</f>
        <v>0.99895708065686373</v>
      </c>
      <c r="I556" s="63">
        <f>AC549-F549</f>
        <v>87.666666666666657</v>
      </c>
      <c r="J556" s="62" t="s">
        <v>56</v>
      </c>
      <c r="K556" s="1">
        <f>AA547*AB548*AB549*AB550+AA548*AB547*AB549*AB550+AA549*AB547*AB548*AB550+AA550*AB547*AB548*AB549</f>
        <v>4.3430517759598438E-3</v>
      </c>
      <c r="L556" s="1">
        <f>AC550+1*L540-F550</f>
        <v>143.33333333333331</v>
      </c>
      <c r="M556" s="1">
        <f>B556*C556*AH547+E556*F556*AH548+H556*I556*AH549+K556*L556*AH550</f>
        <v>9686.1889619381327</v>
      </c>
      <c r="O556" s="1" t="s">
        <v>30</v>
      </c>
      <c r="P556" s="1">
        <f>1*H541</f>
        <v>4320</v>
      </c>
      <c r="Q556" s="1">
        <f t="shared" si="58"/>
        <v>0.46168523876583578</v>
      </c>
      <c r="R556" s="1">
        <f t="shared" si="59"/>
        <v>16272.096240301882</v>
      </c>
    </row>
    <row r="557" spans="1:34" ht="30" x14ac:dyDescent="0.25">
      <c r="I557" s="84"/>
      <c r="J557" s="62" t="s">
        <v>52</v>
      </c>
      <c r="K557" s="85">
        <f>AB547*AB548*AB549*AB550</f>
        <v>0.99565333903621589</v>
      </c>
      <c r="L557" s="1">
        <f>AC550+0*L540-F550</f>
        <v>131.33333333333331</v>
      </c>
      <c r="M557" s="1">
        <f>B557*C557*AH547+E557*F557*AH548+H557*I557*AH549+K557*L557*AH550</f>
        <v>11114.810108107622</v>
      </c>
      <c r="O557" s="64" t="s">
        <v>65</v>
      </c>
      <c r="P557" s="65">
        <f>SUM(P553:P556)</f>
        <v>55700</v>
      </c>
      <c r="Q557" s="96" t="s">
        <v>108</v>
      </c>
      <c r="R557" s="97">
        <f>SUM(R553:R556)</f>
        <v>57069.020347568381</v>
      </c>
    </row>
    <row r="558" spans="1:34" x14ac:dyDescent="0.25">
      <c r="L558" s="176" t="s">
        <v>63</v>
      </c>
      <c r="M558" s="177">
        <f>SUM(M553:M557)</f>
        <v>23231.199273425693</v>
      </c>
    </row>
    <row r="559" spans="1:34" x14ac:dyDescent="0.25">
      <c r="L559" s="176"/>
      <c r="M559" s="177"/>
    </row>
    <row r="560" spans="1:34" x14ac:dyDescent="0.25">
      <c r="A560" s="178" t="s">
        <v>90</v>
      </c>
      <c r="B560" s="178"/>
      <c r="C560" s="178"/>
      <c r="D560" s="178"/>
      <c r="E560" s="178"/>
      <c r="F560" s="178"/>
      <c r="G560" s="178"/>
      <c r="H560" s="178"/>
      <c r="I560" s="178"/>
      <c r="J560" s="178"/>
      <c r="K560" s="178"/>
      <c r="L560" s="178"/>
      <c r="M560" s="178"/>
      <c r="N560" s="178"/>
    </row>
    <row r="561" spans="1:22" ht="15.75" x14ac:dyDescent="0.25">
      <c r="A561" s="87" t="s">
        <v>75</v>
      </c>
      <c r="B561" s="62" t="s">
        <v>49</v>
      </c>
      <c r="C561" s="90" t="s">
        <v>87</v>
      </c>
      <c r="D561" s="62" t="s">
        <v>88</v>
      </c>
      <c r="E561" s="87" t="s">
        <v>76</v>
      </c>
      <c r="F561" s="62" t="s">
        <v>57</v>
      </c>
      <c r="G561" s="90" t="s">
        <v>102</v>
      </c>
      <c r="H561" s="62" t="s">
        <v>88</v>
      </c>
      <c r="I561" s="87" t="s">
        <v>77</v>
      </c>
      <c r="J561" s="62" t="s">
        <v>61</v>
      </c>
      <c r="K561" s="90" t="s">
        <v>78</v>
      </c>
      <c r="L561" s="62" t="s">
        <v>88</v>
      </c>
      <c r="M561" s="87" t="s">
        <v>86</v>
      </c>
      <c r="N561" s="62" t="s">
        <v>84</v>
      </c>
      <c r="O561" s="90" t="s">
        <v>103</v>
      </c>
      <c r="P561" s="62" t="s">
        <v>88</v>
      </c>
    </row>
    <row r="562" spans="1:22" ht="24.75" x14ac:dyDescent="0.25">
      <c r="A562" s="62" t="s">
        <v>51</v>
      </c>
      <c r="B562" s="86">
        <v>2.9465138194053318E-5</v>
      </c>
      <c r="C562" s="86">
        <f>AC547+1*L540</f>
        <v>89</v>
      </c>
      <c r="D562" s="86">
        <f>MAX(B562*1.5*((C562-F547)*500/2),0)</f>
        <v>0.14364254869600993</v>
      </c>
      <c r="E562" s="62" t="s">
        <v>55</v>
      </c>
      <c r="F562" s="86">
        <v>4.4688090858385535E-9</v>
      </c>
      <c r="G562" s="86">
        <f>AC548+2*L540</f>
        <v>154.66666666666666</v>
      </c>
      <c r="H562" s="86">
        <f>F562*1.5*((G562-F548)*500/2+(G562-F549)*500+(G562-F550)*500)</f>
        <v>3.1225803487296882E-4</v>
      </c>
      <c r="I562" s="62" t="s">
        <v>59</v>
      </c>
      <c r="J562" s="86">
        <v>3.8518922730545109E-12</v>
      </c>
      <c r="K562" s="86">
        <f>AC549+3*L540</f>
        <v>229.66666666666666</v>
      </c>
      <c r="L562" s="86">
        <f>J562*1.5*((K562-G562)*500/2+(K562-G562)*500)</f>
        <v>3.2500341053897436E-7</v>
      </c>
      <c r="M562" s="62" t="s">
        <v>83</v>
      </c>
      <c r="N562" s="86">
        <v>1.2738942510296955E-14</v>
      </c>
      <c r="O562" s="86">
        <f>AC550+4*L540</f>
        <v>319.33333333333331</v>
      </c>
      <c r="P562" s="86">
        <f>N562*1.5*((O562-K562)*500/2)</f>
        <v>4.2834694190873507E-10</v>
      </c>
    </row>
    <row r="563" spans="1:22" ht="24.75" x14ac:dyDescent="0.25">
      <c r="A563" s="62" t="s">
        <v>52</v>
      </c>
      <c r="B563" s="86">
        <v>0.99997053486180598</v>
      </c>
      <c r="C563" s="88">
        <f>AC547</f>
        <v>77</v>
      </c>
      <c r="D563" s="86">
        <f>MAX(B563*1.5*((C563-F547)*500/2),0)</f>
        <v>374.98895057317725</v>
      </c>
      <c r="E563" s="62" t="s">
        <v>56</v>
      </c>
      <c r="F563" s="86">
        <v>1.8112048453096093E-4</v>
      </c>
      <c r="G563" s="86">
        <f>AC548+1*L540</f>
        <v>142.66666666666666</v>
      </c>
      <c r="H563" s="86">
        <f>F563*1.5*((G563-F548)*500/2+(G563-F549)*500+(G563-F550)*500)</f>
        <v>8.58058295465427</v>
      </c>
      <c r="I563" s="62" t="s">
        <v>60</v>
      </c>
      <c r="J563" s="86">
        <v>1.6058185130469196E-7</v>
      </c>
      <c r="K563" s="86">
        <f>AC549+2*L540</f>
        <v>217.66666666666666</v>
      </c>
      <c r="L563" s="86">
        <f>J563*1.5*((K563-G563)*500/2+(K563-G563)*500)</f>
        <v>1.3549093703833384E-2</v>
      </c>
      <c r="M563" s="62" t="s">
        <v>59</v>
      </c>
      <c r="N563" s="86">
        <v>4.3616589389213759E-10</v>
      </c>
      <c r="O563" s="86">
        <f>AC550+3*L540</f>
        <v>307.33333333333331</v>
      </c>
      <c r="P563" s="86">
        <f>N563*1.5*((O563-K563)*500/2)</f>
        <v>1.4666078182123125E-5</v>
      </c>
    </row>
    <row r="564" spans="1:22" x14ac:dyDescent="0.25">
      <c r="A564" s="86"/>
      <c r="B564" s="86"/>
      <c r="C564" s="89" t="s">
        <v>89</v>
      </c>
      <c r="D564" s="89">
        <f>SUM(D562:D563)</f>
        <v>375.13259312187324</v>
      </c>
      <c r="E564" s="62" t="s">
        <v>52</v>
      </c>
      <c r="F564" s="86">
        <v>0.99981887504666</v>
      </c>
      <c r="G564" s="86">
        <f>AC548+0*L540</f>
        <v>130.66666666666666</v>
      </c>
      <c r="H564" s="86">
        <f>F564*1.5*((G564-F548)*500/2+(G564-F549)*500)</f>
        <v>31869.226642112277</v>
      </c>
      <c r="I564" s="62" t="s">
        <v>56</v>
      </c>
      <c r="J564" s="86">
        <v>2.9565862667232688E-5</v>
      </c>
      <c r="K564" s="86">
        <f>AC549+1*L540</f>
        <v>205.66666666666666</v>
      </c>
      <c r="L564" s="86">
        <f>J564*1.5*((K564-G564)*500/2+(K564-F550)*500)</f>
        <v>2.287658623877129</v>
      </c>
      <c r="M564" s="62" t="s">
        <v>60</v>
      </c>
      <c r="N564" s="86">
        <v>3.6086528975764817E-6</v>
      </c>
      <c r="O564" s="86">
        <f>AC550+2*L540</f>
        <v>295.33333333333331</v>
      </c>
      <c r="P564" s="86">
        <f>N564*1.5*((O564-K564)*500/2)</f>
        <v>0.12134095368100919</v>
      </c>
    </row>
    <row r="565" spans="1:22" x14ac:dyDescent="0.25">
      <c r="A565" s="86"/>
      <c r="B565" s="86"/>
      <c r="C565" s="86"/>
      <c r="D565" s="86"/>
      <c r="E565" s="86"/>
      <c r="F565" s="86"/>
      <c r="G565" s="89" t="s">
        <v>79</v>
      </c>
      <c r="H565" s="89">
        <f>SUM(H562:H564)</f>
        <v>31877.807537324967</v>
      </c>
      <c r="I565" s="62" t="s">
        <v>52</v>
      </c>
      <c r="J565" s="86">
        <v>0.99895708065686373</v>
      </c>
      <c r="K565" s="86">
        <f>AC549+0*L540</f>
        <v>193.66666666666666</v>
      </c>
      <c r="L565" s="86">
        <f>J565*1.5*((K565-G564)*500/2+(K565-F550)*500)</f>
        <v>63808.383526957165</v>
      </c>
      <c r="M565" s="62" t="s">
        <v>56</v>
      </c>
      <c r="N565" s="86">
        <v>4.3430517759598438E-3</v>
      </c>
      <c r="O565" s="86">
        <f>AC550+1*L540</f>
        <v>283.33333333333331</v>
      </c>
      <c r="P565" s="86">
        <f>N565*1.5*((O565-K565)*500/2)</f>
        <v>146.03511596664973</v>
      </c>
    </row>
    <row r="566" spans="1:22" x14ac:dyDescent="0.25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9" t="s">
        <v>79</v>
      </c>
      <c r="L566" s="89">
        <f>SUM(L562:L565)</f>
        <v>63810.684734999748</v>
      </c>
      <c r="M566" s="62" t="s">
        <v>52</v>
      </c>
      <c r="N566" s="86">
        <v>0.99565333903621589</v>
      </c>
      <c r="O566" s="86">
        <f>AC550+0*L540</f>
        <v>271.33333333333331</v>
      </c>
      <c r="P566" s="86">
        <f>N566*1.5*((O566-K565)*500/2)</f>
        <v>28998.403499429784</v>
      </c>
      <c r="Q566" s="179" t="s">
        <v>80</v>
      </c>
      <c r="R566" s="179"/>
      <c r="S566" s="180">
        <f>D564+H565+L566+P567</f>
        <v>125208.18483646322</v>
      </c>
      <c r="T566" s="180"/>
    </row>
    <row r="567" spans="1:22" x14ac:dyDescent="0.25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9" t="s">
        <v>79</v>
      </c>
      <c r="P567" s="89">
        <f>SUM(P562:P566)</f>
        <v>29144.559971016621</v>
      </c>
      <c r="Q567" s="179"/>
      <c r="R567" s="179"/>
      <c r="S567" s="180"/>
      <c r="T567" s="180"/>
    </row>
    <row r="568" spans="1:22" x14ac:dyDescent="0.25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</row>
    <row r="569" spans="1:22" x14ac:dyDescent="0.25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</row>
    <row r="570" spans="1:22" x14ac:dyDescent="0.25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</row>
    <row r="571" spans="1:22" ht="24.75" thickBot="1" x14ac:dyDescent="0.3">
      <c r="O571" s="131" t="s">
        <v>81</v>
      </c>
      <c r="P571" s="131"/>
      <c r="Q571" s="131">
        <f>(R557+P557+M558+S566)/AC550</f>
        <v>962.68453731249622</v>
      </c>
      <c r="R571" s="131"/>
    </row>
    <row r="572" spans="1:22" x14ac:dyDescent="0.25">
      <c r="A572" s="181" t="s">
        <v>120</v>
      </c>
      <c r="B572" s="182"/>
    </row>
    <row r="573" spans="1:22" ht="15.75" thickBot="1" x14ac:dyDescent="0.3">
      <c r="A573" s="183"/>
      <c r="B573" s="184"/>
    </row>
    <row r="574" spans="1:22" ht="21" x14ac:dyDescent="0.35">
      <c r="A574" s="185" t="s">
        <v>14</v>
      </c>
      <c r="B574" s="185"/>
      <c r="C574" s="165"/>
      <c r="D574" s="165"/>
      <c r="E574" s="165"/>
      <c r="F574" s="165"/>
      <c r="G574" s="165"/>
      <c r="H574" s="165"/>
      <c r="I574" s="165"/>
      <c r="J574" s="165"/>
      <c r="K574" s="165"/>
      <c r="L574" s="165"/>
      <c r="M574" s="165"/>
      <c r="O574" s="166" t="s">
        <v>72</v>
      </c>
      <c r="P574" s="166"/>
      <c r="Q574" s="166"/>
      <c r="R574" s="166"/>
      <c r="S574" s="166"/>
      <c r="T574" s="166"/>
      <c r="U574" s="166"/>
      <c r="V574" s="166"/>
    </row>
    <row r="575" spans="1:22" ht="36" x14ac:dyDescent="0.25">
      <c r="A575" s="4" t="s">
        <v>15</v>
      </c>
      <c r="B575" s="4" t="s">
        <v>16</v>
      </c>
      <c r="C575" s="4" t="s">
        <v>31</v>
      </c>
      <c r="D575" s="6" t="s">
        <v>17</v>
      </c>
      <c r="E575" s="6" t="s">
        <v>18</v>
      </c>
      <c r="F575" s="6" t="s">
        <v>19</v>
      </c>
      <c r="G575" s="6" t="s">
        <v>20</v>
      </c>
      <c r="H575" s="6" t="s">
        <v>21</v>
      </c>
      <c r="I575" s="6" t="s">
        <v>22</v>
      </c>
      <c r="J575" s="6" t="s">
        <v>23</v>
      </c>
      <c r="K575" s="6" t="s">
        <v>24</v>
      </c>
      <c r="L575" s="6" t="s">
        <v>25</v>
      </c>
      <c r="M575" s="6" t="s">
        <v>26</v>
      </c>
      <c r="N575" s="8"/>
      <c r="O575" s="167" t="s">
        <v>32</v>
      </c>
      <c r="P575" s="167" t="s">
        <v>35</v>
      </c>
      <c r="Q575" s="167" t="s">
        <v>66</v>
      </c>
      <c r="R575" s="99" t="s">
        <v>67</v>
      </c>
      <c r="S575" s="99" t="s">
        <v>68</v>
      </c>
      <c r="T575" s="167" t="s">
        <v>69</v>
      </c>
      <c r="U575" s="71" t="s">
        <v>33</v>
      </c>
      <c r="V575" s="99" t="s">
        <v>70</v>
      </c>
    </row>
    <row r="576" spans="1:22" x14ac:dyDescent="0.25">
      <c r="A576" s="3" t="s">
        <v>27</v>
      </c>
      <c r="B576" s="3">
        <v>0</v>
      </c>
      <c r="C576" s="3">
        <v>0.3</v>
      </c>
      <c r="D576" s="3">
        <v>243</v>
      </c>
      <c r="E576" s="3">
        <v>1.73</v>
      </c>
      <c r="F576" s="3">
        <v>5</v>
      </c>
      <c r="G576" s="169">
        <v>12</v>
      </c>
      <c r="H576" s="3">
        <v>1820</v>
      </c>
      <c r="I576" s="169">
        <v>19645</v>
      </c>
      <c r="J576" s="3">
        <v>20</v>
      </c>
      <c r="K576" s="3">
        <v>40</v>
      </c>
      <c r="L576" s="3">
        <v>500</v>
      </c>
      <c r="M576" s="3">
        <v>1000</v>
      </c>
      <c r="O576" s="168"/>
      <c r="P576" s="168"/>
      <c r="Q576" s="168"/>
      <c r="R576" s="72" t="s">
        <v>71</v>
      </c>
      <c r="S576" s="72" t="s">
        <v>71</v>
      </c>
      <c r="T576" s="168"/>
      <c r="U576" s="73">
        <v>500</v>
      </c>
      <c r="V576" s="3">
        <v>1.5</v>
      </c>
    </row>
    <row r="577" spans="1:34" x14ac:dyDescent="0.25">
      <c r="A577" s="3" t="s">
        <v>28</v>
      </c>
      <c r="B577" s="3">
        <v>0</v>
      </c>
      <c r="C577" s="3">
        <v>0.3</v>
      </c>
      <c r="D577" s="3">
        <v>254</v>
      </c>
      <c r="E577" s="3">
        <v>1.88</v>
      </c>
      <c r="F577" s="3">
        <v>3</v>
      </c>
      <c r="G577" s="170"/>
      <c r="H577" s="3">
        <v>2720</v>
      </c>
      <c r="I577" s="170"/>
      <c r="J577" s="5"/>
      <c r="K577" s="5"/>
      <c r="L577" s="5"/>
      <c r="M577" s="5"/>
      <c r="O577" s="74">
        <v>1</v>
      </c>
      <c r="P577" s="74">
        <v>106</v>
      </c>
      <c r="Q577" s="74">
        <v>110</v>
      </c>
      <c r="R577" s="74">
        <v>6</v>
      </c>
      <c r="S577" s="74">
        <v>5</v>
      </c>
      <c r="T577" s="74">
        <f>R577*$U$5/60+S577</f>
        <v>55</v>
      </c>
      <c r="U577" s="75"/>
    </row>
    <row r="578" spans="1:34" x14ac:dyDescent="0.25">
      <c r="A578" s="3" t="s">
        <v>29</v>
      </c>
      <c r="B578" s="3">
        <v>0</v>
      </c>
      <c r="C578" s="3">
        <v>0.3</v>
      </c>
      <c r="D578" s="3">
        <v>143</v>
      </c>
      <c r="E578" s="3">
        <v>2.4300000000000002</v>
      </c>
      <c r="F578" s="3">
        <v>8</v>
      </c>
      <c r="G578" s="170"/>
      <c r="H578" s="3">
        <v>3700</v>
      </c>
      <c r="I578" s="170"/>
      <c r="J578" s="5"/>
      <c r="K578" s="140" t="s">
        <v>73</v>
      </c>
      <c r="L578" s="141">
        <v>12</v>
      </c>
      <c r="M578" s="140" t="s">
        <v>74</v>
      </c>
      <c r="N578" s="141">
        <v>19645</v>
      </c>
      <c r="O578" s="74">
        <v>2</v>
      </c>
      <c r="P578" s="74">
        <v>76</v>
      </c>
      <c r="Q578" s="74">
        <v>40</v>
      </c>
      <c r="R578" s="74">
        <v>9</v>
      </c>
      <c r="S578" s="74">
        <v>2</v>
      </c>
      <c r="T578" s="74">
        <f t="shared" ref="T578:T580" si="60">R578*$U$5/60+S578</f>
        <v>77</v>
      </c>
      <c r="U578" s="75"/>
    </row>
    <row r="579" spans="1:34" x14ac:dyDescent="0.25">
      <c r="A579" s="3" t="s">
        <v>30</v>
      </c>
      <c r="B579" s="3">
        <v>0</v>
      </c>
      <c r="C579" s="3">
        <v>0.3</v>
      </c>
      <c r="D579" s="3">
        <v>449</v>
      </c>
      <c r="E579" s="3">
        <v>2.5299999999999998</v>
      </c>
      <c r="F579" s="3">
        <v>4</v>
      </c>
      <c r="G579" s="171"/>
      <c r="H579" s="3">
        <v>4320</v>
      </c>
      <c r="I579" s="171"/>
      <c r="J579" s="5"/>
      <c r="K579" s="140"/>
      <c r="L579" s="141"/>
      <c r="M579" s="140"/>
      <c r="N579" s="141"/>
      <c r="O579" s="74">
        <v>3</v>
      </c>
      <c r="P579" s="74">
        <v>95</v>
      </c>
      <c r="Q579" s="74">
        <v>67</v>
      </c>
      <c r="R579" s="74">
        <v>5</v>
      </c>
      <c r="S579" s="74">
        <v>4</v>
      </c>
      <c r="T579" s="74">
        <f t="shared" si="60"/>
        <v>45.666666666666664</v>
      </c>
      <c r="U579" s="75"/>
    </row>
    <row r="580" spans="1:34" ht="15.75" thickBo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O580" s="74">
        <v>4</v>
      </c>
      <c r="P580" s="74">
        <v>140</v>
      </c>
      <c r="Q580" s="94">
        <v>85</v>
      </c>
      <c r="R580" s="94">
        <v>8</v>
      </c>
      <c r="S580" s="94">
        <v>3</v>
      </c>
      <c r="T580" s="74">
        <f t="shared" si="60"/>
        <v>69.666666666666671</v>
      </c>
    </row>
    <row r="581" spans="1:34" x14ac:dyDescent="0.25">
      <c r="A581" s="142" t="s">
        <v>36</v>
      </c>
      <c r="B581" s="144" t="s">
        <v>106</v>
      </c>
      <c r="C581" s="144"/>
      <c r="D581" s="144"/>
      <c r="E581" s="144"/>
      <c r="F581" s="20" t="s">
        <v>27</v>
      </c>
      <c r="G581" s="20" t="s">
        <v>28</v>
      </c>
      <c r="H581" s="20" t="s">
        <v>29</v>
      </c>
      <c r="I581" s="20" t="s">
        <v>30</v>
      </c>
    </row>
    <row r="582" spans="1:34" ht="15.75" thickBot="1" x14ac:dyDescent="0.3">
      <c r="A582" s="143"/>
      <c r="B582" s="145"/>
      <c r="C582" s="145"/>
      <c r="D582" s="145"/>
      <c r="E582" s="145"/>
      <c r="F582" s="20">
        <v>126</v>
      </c>
      <c r="G582" s="26">
        <v>91</v>
      </c>
      <c r="H582" s="26">
        <v>67</v>
      </c>
      <c r="I582" s="26">
        <v>201</v>
      </c>
    </row>
    <row r="583" spans="1:34" ht="15.75" thickBot="1" x14ac:dyDescent="0.3">
      <c r="A583" s="143"/>
      <c r="B583" s="145"/>
      <c r="C583" s="145"/>
      <c r="D583" s="145"/>
      <c r="E583" s="145"/>
      <c r="F583" s="7"/>
      <c r="G583" s="146" t="s">
        <v>27</v>
      </c>
      <c r="H583" s="147"/>
      <c r="I583" s="147"/>
      <c r="J583" s="147"/>
      <c r="K583" s="148"/>
      <c r="L583" s="149" t="s">
        <v>28</v>
      </c>
      <c r="M583" s="150"/>
      <c r="N583" s="150"/>
      <c r="O583" s="150"/>
      <c r="P583" s="151"/>
      <c r="Q583" s="152" t="s">
        <v>29</v>
      </c>
      <c r="R583" s="153"/>
      <c r="S583" s="153"/>
      <c r="T583" s="153"/>
      <c r="U583" s="154"/>
      <c r="V583" s="155" t="s">
        <v>30</v>
      </c>
      <c r="W583" s="156"/>
      <c r="X583" s="156"/>
      <c r="Y583" s="156"/>
      <c r="Z583" s="157"/>
      <c r="AA583" s="158" t="s">
        <v>42</v>
      </c>
      <c r="AB583" s="159"/>
      <c r="AC583" s="160" t="s">
        <v>44</v>
      </c>
      <c r="AD583" s="162" t="s">
        <v>47</v>
      </c>
      <c r="AE583" s="163"/>
      <c r="AF583" s="163"/>
      <c r="AG583" s="164"/>
      <c r="AH583" s="138" t="s">
        <v>62</v>
      </c>
    </row>
    <row r="584" spans="1:34" ht="36.75" x14ac:dyDescent="0.25">
      <c r="A584" s="21" t="s">
        <v>32</v>
      </c>
      <c r="B584" s="22" t="s">
        <v>37</v>
      </c>
      <c r="C584" s="23" t="s">
        <v>33</v>
      </c>
      <c r="D584" s="22" t="s">
        <v>38</v>
      </c>
      <c r="E584" s="22" t="s">
        <v>34</v>
      </c>
      <c r="F584" s="25" t="s">
        <v>35</v>
      </c>
      <c r="G584" s="27" t="s">
        <v>39</v>
      </c>
      <c r="H584" s="10" t="s">
        <v>40</v>
      </c>
      <c r="I584" s="10" t="s">
        <v>45</v>
      </c>
      <c r="J584" s="10" t="s">
        <v>46</v>
      </c>
      <c r="K584" s="28" t="s">
        <v>41</v>
      </c>
      <c r="L584" s="30" t="s">
        <v>39</v>
      </c>
      <c r="M584" s="13" t="s">
        <v>40</v>
      </c>
      <c r="N584" s="13" t="s">
        <v>45</v>
      </c>
      <c r="O584" s="13" t="s">
        <v>46</v>
      </c>
      <c r="P584" s="31" t="s">
        <v>41</v>
      </c>
      <c r="Q584" s="33" t="s">
        <v>39</v>
      </c>
      <c r="R584" s="12" t="s">
        <v>40</v>
      </c>
      <c r="S584" s="12" t="s">
        <v>45</v>
      </c>
      <c r="T584" s="12" t="s">
        <v>46</v>
      </c>
      <c r="U584" s="34" t="s">
        <v>41</v>
      </c>
      <c r="V584" s="36" t="s">
        <v>39</v>
      </c>
      <c r="W584" s="11" t="s">
        <v>40</v>
      </c>
      <c r="X584" s="11" t="s">
        <v>45</v>
      </c>
      <c r="Y584" s="11" t="s">
        <v>46</v>
      </c>
      <c r="Z584" s="37" t="s">
        <v>41</v>
      </c>
      <c r="AA584" s="39" t="s">
        <v>41</v>
      </c>
      <c r="AB584" s="40" t="s">
        <v>43</v>
      </c>
      <c r="AC584" s="161"/>
      <c r="AD584" s="43" t="s">
        <v>27</v>
      </c>
      <c r="AE584" s="1" t="s">
        <v>28</v>
      </c>
      <c r="AF584" s="1" t="s">
        <v>29</v>
      </c>
      <c r="AG584" s="1" t="s">
        <v>30</v>
      </c>
      <c r="AH584" s="139"/>
    </row>
    <row r="585" spans="1:34" x14ac:dyDescent="0.25">
      <c r="A585" s="24">
        <v>2</v>
      </c>
      <c r="B585" s="9">
        <v>9</v>
      </c>
      <c r="C585" s="9">
        <v>500</v>
      </c>
      <c r="D585" s="9">
        <v>2</v>
      </c>
      <c r="E585" s="48">
        <f>B585*C585/60+D585</f>
        <v>77</v>
      </c>
      <c r="F585" s="100">
        <v>76</v>
      </c>
      <c r="G585" s="49">
        <f>B$5*(1-AD585*C$5)</f>
        <v>0</v>
      </c>
      <c r="H585" s="50">
        <f>G585+E585</f>
        <v>77</v>
      </c>
      <c r="I585" s="15">
        <f>(H585/D$5)^E$5</f>
        <v>0.13693992990275231</v>
      </c>
      <c r="J585" s="15">
        <f>(G585/D$5)^E$5</f>
        <v>0</v>
      </c>
      <c r="K585" s="29">
        <f>1-EXP(J585-I585)</f>
        <v>0.1279773929583623</v>
      </c>
      <c r="L585" s="51">
        <f>B$6*(1-AE585*C$6)</f>
        <v>0</v>
      </c>
      <c r="M585" s="52">
        <f>L585+E585</f>
        <v>77</v>
      </c>
      <c r="N585" s="17">
        <f>(M585/D$6)^E$6</f>
        <v>0.10605109964467559</v>
      </c>
      <c r="O585" s="17">
        <f>(L585/D$6)^E$6</f>
        <v>0</v>
      </c>
      <c r="P585" s="32">
        <f>1-EXP(O585-N585)</f>
        <v>0.10062131102974814</v>
      </c>
      <c r="Q585" s="53">
        <f>B$7*(1-AF585*C$7)</f>
        <v>0</v>
      </c>
      <c r="R585" s="54">
        <f>Q585+E585</f>
        <v>77</v>
      </c>
      <c r="S585" s="16">
        <f>(R585/D$7)^E$7</f>
        <v>0.2221804751105394</v>
      </c>
      <c r="T585" s="16">
        <f>(Q585/D$7)^E$7</f>
        <v>0</v>
      </c>
      <c r="U585" s="35">
        <f>1-EXP(T585-S585)</f>
        <v>0.19922916791162293</v>
      </c>
      <c r="V585" s="55">
        <f>B$8*(1-AG585*C$8)</f>
        <v>0</v>
      </c>
      <c r="W585" s="56">
        <f>V585+E585</f>
        <v>77</v>
      </c>
      <c r="X585" s="18">
        <f>(W585/D$8)^E$8</f>
        <v>1.1551497592884551E-2</v>
      </c>
      <c r="Y585" s="18">
        <f>(V585/D$8)^E$8</f>
        <v>0</v>
      </c>
      <c r="Z585" s="38">
        <f>1-EXP(Y585-X585)</f>
        <v>1.1485035204098715E-2</v>
      </c>
      <c r="AA585" s="41">
        <f>K585*P585*U585*Z585</f>
        <v>2.9465138194053318E-5</v>
      </c>
      <c r="AB585" s="42">
        <f>1-AA585</f>
        <v>0.99997053486180598</v>
      </c>
      <c r="AC585" s="47">
        <f>(AD585*F$5+AE585*F$6+AF585*F$7+AG585*F$8)+E585</f>
        <v>77</v>
      </c>
      <c r="AD585" s="43">
        <v>0</v>
      </c>
      <c r="AE585" s="1">
        <v>0</v>
      </c>
      <c r="AF585" s="1">
        <v>0</v>
      </c>
      <c r="AG585" s="1">
        <v>0</v>
      </c>
      <c r="AH585" s="74">
        <v>40</v>
      </c>
    </row>
    <row r="586" spans="1:34" x14ac:dyDescent="0.25">
      <c r="A586" s="76">
        <v>3</v>
      </c>
      <c r="B586" s="58">
        <v>5</v>
      </c>
      <c r="C586" s="9">
        <v>500</v>
      </c>
      <c r="D586" s="58">
        <v>4</v>
      </c>
      <c r="E586" s="48">
        <f t="shared" ref="E586:E588" si="61">B586*C586/60+D586</f>
        <v>45.666666666666664</v>
      </c>
      <c r="F586" s="100">
        <v>95</v>
      </c>
      <c r="G586" s="49">
        <f>H585*(1-AD586*C$5)</f>
        <v>77</v>
      </c>
      <c r="H586" s="50">
        <f>G586+E586</f>
        <v>122.66666666666666</v>
      </c>
      <c r="I586" s="15">
        <f>(H586/D$5)^E$5</f>
        <v>0.30647715135734394</v>
      </c>
      <c r="J586" s="15">
        <f>(G586/D$5)^E$5</f>
        <v>0.13693992990275231</v>
      </c>
      <c r="K586" s="29">
        <f>1-EXP(J586-I586)</f>
        <v>0.15594466307173371</v>
      </c>
      <c r="L586" s="51">
        <f>M585*(1-AE586*C$6)</f>
        <v>77</v>
      </c>
      <c r="M586" s="52">
        <f>L586+E586</f>
        <v>122.66666666666666</v>
      </c>
      <c r="N586" s="17">
        <f>(M586/D$6)^E$6</f>
        <v>0.25451802994245737</v>
      </c>
      <c r="O586" s="17">
        <f>(L586/D$6)^E$6</f>
        <v>0.10605109964467559</v>
      </c>
      <c r="P586" s="32">
        <f>1-EXP(O586-N586)</f>
        <v>0.13797148627460298</v>
      </c>
      <c r="Q586" s="53">
        <f>R585*(1-AF586*C$7)</f>
        <v>53.9</v>
      </c>
      <c r="R586" s="54">
        <f>Q586+E586</f>
        <v>99.566666666666663</v>
      </c>
      <c r="S586" s="16">
        <f>(R586/D$7)^E$7</f>
        <v>0.41490662639502834</v>
      </c>
      <c r="T586" s="16">
        <f>(Q586/D$7)^E$7</f>
        <v>9.3388656656360772E-2</v>
      </c>
      <c r="U586" s="35">
        <f>1-EXP(T586-S586)</f>
        <v>0.27495239900553381</v>
      </c>
      <c r="V586" s="55">
        <f>W585*(1-AG586*C$8)</f>
        <v>77</v>
      </c>
      <c r="W586" s="56">
        <f>V586+E586</f>
        <v>122.66666666666666</v>
      </c>
      <c r="X586" s="18">
        <f>(W586/D$8)^E$8</f>
        <v>3.7522776286050503E-2</v>
      </c>
      <c r="Y586" s="18">
        <f>(V586/D$8)^E$8</f>
        <v>1.1551497592884551E-2</v>
      </c>
      <c r="Z586" s="38">
        <f>1-EXP(Y586-X586)</f>
        <v>2.563692581230792E-2</v>
      </c>
      <c r="AA586" s="41">
        <f>K586*P586*U586*Z586</f>
        <v>1.5166428395507926E-4</v>
      </c>
      <c r="AB586" s="42">
        <f>1-AA586</f>
        <v>0.99984833571604492</v>
      </c>
      <c r="AC586" s="47">
        <f>AF586*F$7+E586+AC585</f>
        <v>130.66666666666666</v>
      </c>
      <c r="AD586" s="43">
        <v>0</v>
      </c>
      <c r="AE586" s="1">
        <v>0</v>
      </c>
      <c r="AF586" s="1">
        <v>1</v>
      </c>
      <c r="AG586" s="1">
        <v>0</v>
      </c>
      <c r="AH586" s="74">
        <v>67</v>
      </c>
    </row>
    <row r="587" spans="1:34" x14ac:dyDescent="0.25">
      <c r="A587" s="24">
        <v>4</v>
      </c>
      <c r="B587" s="9">
        <v>8</v>
      </c>
      <c r="C587" s="58">
        <v>500</v>
      </c>
      <c r="D587" s="58">
        <v>3</v>
      </c>
      <c r="E587" s="48">
        <f t="shared" si="61"/>
        <v>69.666666666666671</v>
      </c>
      <c r="F587" s="100">
        <v>140</v>
      </c>
      <c r="G587" s="68">
        <f>H586*(1-AD587*C$5)</f>
        <v>85.86666666666666</v>
      </c>
      <c r="H587" s="69">
        <f>G587+E587</f>
        <v>155.53333333333333</v>
      </c>
      <c r="I587" s="70">
        <f>(H587/D$5)^E$5</f>
        <v>0.46212106614830967</v>
      </c>
      <c r="J587" s="70">
        <f>(G587/D$5)^E$5</f>
        <v>0.16535514464725598</v>
      </c>
      <c r="K587" s="29">
        <f>1-EXP(J587-I587)</f>
        <v>0.25678203665269694</v>
      </c>
      <c r="L587" s="51">
        <f>M586*(1-AE587*C$6)</f>
        <v>85.86666666666666</v>
      </c>
      <c r="M587" s="52">
        <f>L587+E587</f>
        <v>155.53333333333333</v>
      </c>
      <c r="N587" s="17">
        <f>(M587/D$6)^E$6</f>
        <v>0.39768641404513894</v>
      </c>
      <c r="O587" s="17">
        <f>(L587/D$6)^E$6</f>
        <v>0.13016759122196553</v>
      </c>
      <c r="P587" s="32">
        <f>1-EXP(O587-N587)</f>
        <v>0.23472407416617413</v>
      </c>
      <c r="Q587" s="53">
        <f>R586*(1-AF587*C$7)</f>
        <v>69.696666666666658</v>
      </c>
      <c r="R587" s="54">
        <f>Q587+E587</f>
        <v>139.36333333333334</v>
      </c>
      <c r="S587" s="16">
        <f>(R587/D$7)^E$7</f>
        <v>0.93932167877330319</v>
      </c>
      <c r="T587" s="16">
        <f>(Q587/D$7)^E$7</f>
        <v>0.17439683868520187</v>
      </c>
      <c r="U587" s="35">
        <f>1-EXP(T587-S587)</f>
        <v>0.53463109325405966</v>
      </c>
      <c r="V587" s="55">
        <f>W586*(1-AG587*C$8)</f>
        <v>122.66666666666666</v>
      </c>
      <c r="W587" s="56">
        <f>V587+E587</f>
        <v>192.33333333333331</v>
      </c>
      <c r="X587" s="18">
        <f>(W587/D$8)^E$8</f>
        <v>0.11707786390726449</v>
      </c>
      <c r="Y587" s="18">
        <f>(V587/D$8)^E$8</f>
        <v>3.7522776286050503E-2</v>
      </c>
      <c r="Z587" s="38">
        <f>1-EXP(Y587-X587)</f>
        <v>7.647285634617873E-2</v>
      </c>
      <c r="AA587" s="41">
        <f>K587*P587*U587*Z587</f>
        <v>2.4642445158881226E-3</v>
      </c>
      <c r="AB587" s="42">
        <f>1-AA587</f>
        <v>0.99753575548411189</v>
      </c>
      <c r="AC587" s="47">
        <f>(AF587*F$7)+E587+AC586</f>
        <v>208.33333333333331</v>
      </c>
      <c r="AD587" s="77">
        <v>1</v>
      </c>
      <c r="AE587" s="78">
        <v>1</v>
      </c>
      <c r="AF587" s="78">
        <v>1</v>
      </c>
      <c r="AG587" s="78">
        <v>0</v>
      </c>
      <c r="AH587" s="74">
        <v>85</v>
      </c>
    </row>
    <row r="588" spans="1:34" ht="15.75" thickBot="1" x14ac:dyDescent="0.3">
      <c r="A588" s="57">
        <v>1</v>
      </c>
      <c r="B588" s="58">
        <v>6</v>
      </c>
      <c r="C588" s="58">
        <v>500</v>
      </c>
      <c r="D588" s="9">
        <v>5</v>
      </c>
      <c r="E588" s="48">
        <f t="shared" si="61"/>
        <v>55</v>
      </c>
      <c r="F588" s="100">
        <v>106</v>
      </c>
      <c r="G588" s="68">
        <f>H587*(1-AD588*C$5)</f>
        <v>108.87333333333332</v>
      </c>
      <c r="H588" s="69">
        <f>G588+E588</f>
        <v>163.87333333333333</v>
      </c>
      <c r="I588" s="70">
        <f>(H588/D$5)^E$5</f>
        <v>0.50582522627678017</v>
      </c>
      <c r="J588" s="70">
        <f>(G588/D$5)^E$5</f>
        <v>0.2493304815679428</v>
      </c>
      <c r="K588" s="29">
        <f>1-EXP(J588-I588)</f>
        <v>0.22624093912205778</v>
      </c>
      <c r="L588" s="51">
        <f>M587*(1-AE588*C$6)</f>
        <v>108.87333333333332</v>
      </c>
      <c r="M588" s="52">
        <f>L588+E588</f>
        <v>163.87333333333333</v>
      </c>
      <c r="N588" s="17">
        <f>(M588/D$6)^E$6</f>
        <v>0.43872076836143109</v>
      </c>
      <c r="O588" s="17">
        <f>(L588/D$6)^E$6</f>
        <v>0.20338788018145684</v>
      </c>
      <c r="P588" s="32">
        <f>1-EXP(O588-N588)</f>
        <v>0.20969227826402548</v>
      </c>
      <c r="Q588" s="53">
        <f>R587*(1-AF588*C$7)</f>
        <v>97.554333333333332</v>
      </c>
      <c r="R588" s="54">
        <f>Q588+E588</f>
        <v>152.55433333333332</v>
      </c>
      <c r="S588" s="16">
        <f>(R588/D$7)^E$7</f>
        <v>1.1701864945540434</v>
      </c>
      <c r="T588" s="16">
        <f>(Q588/D$7)^E$7</f>
        <v>0.3948231261329011</v>
      </c>
      <c r="U588" s="35">
        <f>1-EXP(T588-S588)</f>
        <v>0.53946359379535103</v>
      </c>
      <c r="V588" s="55">
        <f>W587*(1-AG588*C$8)</f>
        <v>134.6333333333333</v>
      </c>
      <c r="W588" s="56">
        <f>V588+E588</f>
        <v>189.6333333333333</v>
      </c>
      <c r="X588" s="18">
        <f>(W588/D$8)^E$8</f>
        <v>0.11296421670190253</v>
      </c>
      <c r="Y588" s="18">
        <f>(V588/D$8)^E$8</f>
        <v>4.7486791978556965E-2</v>
      </c>
      <c r="Z588" s="38">
        <f>1-EXP(Y588-X588)</f>
        <v>6.337980901910989E-2</v>
      </c>
      <c r="AA588" s="41">
        <f>K588*P588*U588*Z588</f>
        <v>1.622059200099191E-3</v>
      </c>
      <c r="AB588" s="42">
        <f>1-AA588</f>
        <v>0.99837794079990083</v>
      </c>
      <c r="AC588" s="47">
        <f>(AF588*F$7)+E588+AC587</f>
        <v>271.33333333333331</v>
      </c>
      <c r="AD588" s="80">
        <v>1</v>
      </c>
      <c r="AE588" s="45">
        <v>1</v>
      </c>
      <c r="AF588" s="81">
        <v>1</v>
      </c>
      <c r="AG588" s="45">
        <v>1</v>
      </c>
      <c r="AH588" s="94">
        <v>110</v>
      </c>
    </row>
    <row r="589" spans="1:34" ht="18.75" x14ac:dyDescent="0.3">
      <c r="A589" s="132" t="s">
        <v>53</v>
      </c>
      <c r="B589" s="132"/>
      <c r="C589" s="132"/>
      <c r="D589" s="132"/>
      <c r="E589" s="132"/>
      <c r="F589" s="132"/>
      <c r="G589" s="132"/>
      <c r="H589" s="132"/>
      <c r="I589" s="132"/>
      <c r="J589" s="132"/>
      <c r="AG589" s="46"/>
    </row>
    <row r="590" spans="1:34" ht="15.75" x14ac:dyDescent="0.25">
      <c r="A590" s="19" t="s">
        <v>48</v>
      </c>
      <c r="B590" s="60" t="s">
        <v>49</v>
      </c>
      <c r="C590" s="61" t="s">
        <v>50</v>
      </c>
      <c r="D590" s="19" t="s">
        <v>54</v>
      </c>
      <c r="E590" s="60" t="s">
        <v>57</v>
      </c>
      <c r="F590" s="61" t="s">
        <v>50</v>
      </c>
      <c r="G590" s="19" t="s">
        <v>58</v>
      </c>
      <c r="H590" s="60" t="s">
        <v>61</v>
      </c>
      <c r="I590" s="61" t="s">
        <v>50</v>
      </c>
      <c r="J590" s="19" t="s">
        <v>82</v>
      </c>
      <c r="K590" s="83" t="s">
        <v>84</v>
      </c>
      <c r="L590" s="61" t="s">
        <v>50</v>
      </c>
      <c r="M590" s="61" t="s">
        <v>85</v>
      </c>
      <c r="O590" s="174" t="s">
        <v>64</v>
      </c>
      <c r="P590" s="174"/>
      <c r="Q590" s="175" t="s">
        <v>109</v>
      </c>
      <c r="R590" s="175"/>
    </row>
    <row r="591" spans="1:34" ht="24.75" x14ac:dyDescent="0.25">
      <c r="A591" s="61" t="s">
        <v>51</v>
      </c>
      <c r="B591" s="1">
        <f>AA585</f>
        <v>2.9465138194053318E-5</v>
      </c>
      <c r="C591" s="59">
        <f>MAX(AC585+1*L578-F585,0)</f>
        <v>13</v>
      </c>
      <c r="D591" s="62" t="s">
        <v>55</v>
      </c>
      <c r="E591" s="1">
        <f>AA585*AA586</f>
        <v>4.4688090858385535E-9</v>
      </c>
      <c r="F591" s="1">
        <f>MAX(AC586+2*L578-F586,0)</f>
        <v>59.666666666666657</v>
      </c>
      <c r="G591" s="62" t="s">
        <v>59</v>
      </c>
      <c r="H591" s="1">
        <f>AA585*AA586*AA587</f>
        <v>1.101223828232867E-11</v>
      </c>
      <c r="I591" s="1">
        <f>AC587+3*L578-F587</f>
        <v>104.33333333333331</v>
      </c>
      <c r="J591" s="62" t="s">
        <v>83</v>
      </c>
      <c r="K591" s="1">
        <f>AA585*AA586*AA587*AA588</f>
        <v>1.786250241953573E-14</v>
      </c>
      <c r="L591" s="1">
        <f>AC588+4*L578-F588</f>
        <v>213.33333333333331</v>
      </c>
      <c r="M591" s="1">
        <f>B591*C591*AH585+E591*F591*AH586+H591*I591*AH587+K591*L591*AH588</f>
        <v>1.5339834749403102E-2</v>
      </c>
      <c r="O591" s="1" t="s">
        <v>27</v>
      </c>
      <c r="P591" s="1">
        <f>2*H576</f>
        <v>3640</v>
      </c>
      <c r="Q591" s="1">
        <f>(K585*(1-P585)*(1-U585)*(1-Z585))+(P585*(1-K585)*(1-U585)*(1-Z585))+(U585*(1-K585)*(1-P585)*(1-Z585))+(Z585*(1-K585)*(1-P585)*(1-U585))</f>
        <v>0.32223571239848364</v>
      </c>
      <c r="R591" s="1">
        <f>Q591*(L$7*(J$5*K$5+L$5)+I$5)</f>
        <v>11357.197683484555</v>
      </c>
    </row>
    <row r="592" spans="1:34" ht="24.75" x14ac:dyDescent="0.25">
      <c r="A592" s="62" t="s">
        <v>52</v>
      </c>
      <c r="B592" s="1">
        <f>AB585</f>
        <v>0.99997053486180598</v>
      </c>
      <c r="C592" s="59">
        <f>MAX(AC585-F585,0)</f>
        <v>1</v>
      </c>
      <c r="D592" s="62" t="s">
        <v>56</v>
      </c>
      <c r="E592" s="1">
        <f>AA585*AB586+AA586*AB585</f>
        <v>1.8112048453096093E-4</v>
      </c>
      <c r="F592" s="1">
        <f>MAX(AC586+1*L578-F586,0)</f>
        <v>47.666666666666657</v>
      </c>
      <c r="G592" s="62" t="s">
        <v>60</v>
      </c>
      <c r="H592" s="1">
        <f>AA585*AA586*AB587+AA586*AA587*AB585+AA585*AA587*AB586</f>
        <v>4.5078295756797619E-7</v>
      </c>
      <c r="I592" s="1">
        <f>AC587+2*L578-F587</f>
        <v>92.333333333333314</v>
      </c>
      <c r="J592" s="62" t="s">
        <v>59</v>
      </c>
      <c r="K592">
        <f>AB585*AA586*AA587*AA588+AB586*AA585*AA587*AA588*+AB587*AA585*AA586*AA588+AB588*AA585*AA586*AA587</f>
        <v>6.1720147994558586E-10</v>
      </c>
      <c r="L592" s="1">
        <f>AC588+3*L578-F588</f>
        <v>201.33333333333331</v>
      </c>
      <c r="M592" s="1">
        <f>B592*C592*AH585+E592*F592*AH586+H592*I592*AH587+K592*L592*AH588</f>
        <v>40.580811412436702</v>
      </c>
      <c r="O592" s="1" t="s">
        <v>28</v>
      </c>
      <c r="P592" s="1">
        <f>2*H577</f>
        <v>5440</v>
      </c>
      <c r="Q592" s="1">
        <f t="shared" ref="Q592:Q594" si="62">(K586*(1-P586)*(1-U586)*(1-Z586))+(P586*(1-K586)*(1-U586)*(1-Z586))+(U586*(1-K586)*(1-P586)*(1-Z586))+(Z586*(1-K586)*(1-P586)*(1-U586))</f>
        <v>0.38569075254447172</v>
      </c>
      <c r="R592" s="1">
        <f t="shared" ref="R592:R594" si="63">Q592*(L$7*(J$5*K$5+L$5)+I$5)</f>
        <v>13593.670573429905</v>
      </c>
    </row>
    <row r="593" spans="1:20" ht="24.75" x14ac:dyDescent="0.25">
      <c r="A593" s="1"/>
      <c r="B593" s="1"/>
      <c r="C593" s="1"/>
      <c r="D593" s="62" t="s">
        <v>52</v>
      </c>
      <c r="E593" s="1">
        <f>AB585*AB586</f>
        <v>0.99981887504666</v>
      </c>
      <c r="F593" s="59">
        <f>MAX(AC586-F586,0)</f>
        <v>35.666666666666657</v>
      </c>
      <c r="G593" s="62" t="s">
        <v>56</v>
      </c>
      <c r="H593" s="1">
        <f>AA585*AB586*AB587+AA586*AB585*AB587*+AA587*AB585*AB586</f>
        <v>2.9760809480917334E-5</v>
      </c>
      <c r="I593" s="1">
        <f>AC587+1*L578-F587</f>
        <v>80.333333333333314</v>
      </c>
      <c r="J593" s="62" t="s">
        <v>60</v>
      </c>
      <c r="K593" s="1">
        <f>AA585*AA586*AB587*AB588 + AA585*AA587*AB586*AB588 + AA585*AA588*AB586*AB587 + AA586*AA587*AB585*AB588 + AA586*AA588*AB585*AB587 + AA587*AA588*AB585*AB586</f>
        <v>4.7395424479457136E-6</v>
      </c>
      <c r="L593" s="1">
        <f>AC588+2*L578-F588</f>
        <v>189.33333333333331</v>
      </c>
      <c r="M593" s="1">
        <f>B593*C593*AH585+E593*F593*AH586+H593*I593*AH587+K593*L593*AH588</f>
        <v>2389.5357640012899</v>
      </c>
      <c r="O593" s="1" t="s">
        <v>29</v>
      </c>
      <c r="P593" s="1">
        <f>3*(F578*(J576*K576+L576)+H578)</f>
        <v>42300</v>
      </c>
      <c r="Q593" s="1">
        <f t="shared" si="62"/>
        <v>0.46049945320451158</v>
      </c>
      <c r="R593" s="1">
        <f t="shared" si="63"/>
        <v>16230.30322819301</v>
      </c>
    </row>
    <row r="594" spans="1:20" ht="24.75" x14ac:dyDescent="0.25">
      <c r="A594" s="1"/>
      <c r="B594" s="1"/>
      <c r="C594" s="1"/>
      <c r="D594" s="1"/>
      <c r="E594" s="1"/>
      <c r="F594" s="1"/>
      <c r="G594" s="62" t="s">
        <v>52</v>
      </c>
      <c r="H594" s="1">
        <f>AB585*AB586*AB587</f>
        <v>0.9973550768669448</v>
      </c>
      <c r="I594" s="63">
        <f>AC587-F587</f>
        <v>68.333333333333314</v>
      </c>
      <c r="J594" s="62" t="s">
        <v>56</v>
      </c>
      <c r="K594" s="1">
        <f>AA585*AB586*AB587*AB588+AA586*AB585*AB587*AB588+AA587*AB585*AB586*AB588+AA588*AB585*AB586*AB587</f>
        <v>4.2579518265960462E-3</v>
      </c>
      <c r="L594" s="1">
        <f>AC588+1*L578-F588</f>
        <v>177.33333333333331</v>
      </c>
      <c r="M594" s="1">
        <f>B594*C594*AH585+E594*F594*AH586+H594*I594*AH587+K594*L594*AH588</f>
        <v>5876.0291850996355</v>
      </c>
      <c r="O594" s="1" t="s">
        <v>30</v>
      </c>
      <c r="P594" s="1">
        <f>1*H579</f>
        <v>4320</v>
      </c>
      <c r="Q594" s="1">
        <f t="shared" si="62"/>
        <v>0.47393884990104934</v>
      </c>
      <c r="R594" s="1">
        <f t="shared" si="63"/>
        <v>16703.974764762483</v>
      </c>
    </row>
    <row r="595" spans="1:20" ht="30" x14ac:dyDescent="0.25">
      <c r="I595" s="84"/>
      <c r="J595" s="62" t="s">
        <v>52</v>
      </c>
      <c r="K595" s="85">
        <f>AB585*AB586*AB587*AB588</f>
        <v>0.99573730788874715</v>
      </c>
      <c r="L595" s="1">
        <f>AC588+0*L578-F588</f>
        <v>165.33333333333331</v>
      </c>
      <c r="M595" s="1">
        <f>B595*C595*AH585+E595*F595*AH586+H595*I595*AH587+K595*L595*AH588</f>
        <v>18109.142506136679</v>
      </c>
      <c r="O595" s="64" t="s">
        <v>65</v>
      </c>
      <c r="P595" s="65">
        <f>SUM(P591:P594)</f>
        <v>55700</v>
      </c>
      <c r="Q595" s="96" t="s">
        <v>108</v>
      </c>
      <c r="R595" s="97">
        <f>SUM(R591:R594)</f>
        <v>57885.146249869947</v>
      </c>
    </row>
    <row r="596" spans="1:20" x14ac:dyDescent="0.25">
      <c r="L596" s="176" t="s">
        <v>63</v>
      </c>
      <c r="M596" s="177">
        <f>SUM(M591:M595)</f>
        <v>26415.303606484791</v>
      </c>
    </row>
    <row r="597" spans="1:20" x14ac:dyDescent="0.25">
      <c r="L597" s="176"/>
      <c r="M597" s="177"/>
    </row>
    <row r="598" spans="1:20" x14ac:dyDescent="0.25">
      <c r="A598" s="178" t="s">
        <v>90</v>
      </c>
      <c r="B598" s="178"/>
      <c r="C598" s="178"/>
      <c r="D598" s="178"/>
      <c r="E598" s="178"/>
      <c r="F598" s="178"/>
      <c r="G598" s="178"/>
      <c r="H598" s="178"/>
      <c r="I598" s="178"/>
      <c r="J598" s="178"/>
      <c r="K598" s="178"/>
      <c r="L598" s="178"/>
      <c r="M598" s="178"/>
      <c r="N598" s="178"/>
    </row>
    <row r="599" spans="1:20" ht="15.75" x14ac:dyDescent="0.25">
      <c r="A599" s="87" t="s">
        <v>75</v>
      </c>
      <c r="B599" s="62" t="s">
        <v>49</v>
      </c>
      <c r="C599" s="90" t="s">
        <v>87</v>
      </c>
      <c r="D599" s="62" t="s">
        <v>88</v>
      </c>
      <c r="E599" s="87" t="s">
        <v>76</v>
      </c>
      <c r="F599" s="62" t="s">
        <v>57</v>
      </c>
      <c r="G599" s="90" t="s">
        <v>102</v>
      </c>
      <c r="H599" s="62" t="s">
        <v>88</v>
      </c>
      <c r="I599" s="87" t="s">
        <v>77</v>
      </c>
      <c r="J599" s="62" t="s">
        <v>61</v>
      </c>
      <c r="K599" s="90" t="s">
        <v>78</v>
      </c>
      <c r="L599" s="62" t="s">
        <v>88</v>
      </c>
      <c r="M599" s="87" t="s">
        <v>86</v>
      </c>
      <c r="N599" s="62" t="s">
        <v>84</v>
      </c>
      <c r="O599" s="90" t="s">
        <v>103</v>
      </c>
      <c r="P599" s="62" t="s">
        <v>88</v>
      </c>
    </row>
    <row r="600" spans="1:20" ht="24.75" x14ac:dyDescent="0.25">
      <c r="A600" s="62" t="s">
        <v>51</v>
      </c>
      <c r="B600" s="86">
        <v>2.9465138194053318E-5</v>
      </c>
      <c r="C600" s="86">
        <f>AC585+1*L578</f>
        <v>89</v>
      </c>
      <c r="D600" s="86">
        <f>MAX(B600*1.5*((C600-F585)*500/2),0)</f>
        <v>0.14364254869600993</v>
      </c>
      <c r="E600" s="62" t="s">
        <v>55</v>
      </c>
      <c r="F600" s="86">
        <v>4.4688090858385535E-9</v>
      </c>
      <c r="G600" s="86">
        <f>AC586+2*L578</f>
        <v>154.66666666666666</v>
      </c>
      <c r="H600" s="86">
        <f>F600*1.5*((G600-F586)*500/2+(G600-F587)*500+(G600-F588)*500)</f>
        <v>3.1225803487296882E-4</v>
      </c>
      <c r="I600" s="62" t="s">
        <v>59</v>
      </c>
      <c r="J600" s="86">
        <v>1.101223828232867E-11</v>
      </c>
      <c r="K600" s="86">
        <f>AC587+3*L578</f>
        <v>244.33333333333331</v>
      </c>
      <c r="L600" s="86">
        <f>J600*1.5*((K600-G600)*500/2+(K600-G600)*500)</f>
        <v>1.1108595367299046E-6</v>
      </c>
      <c r="M600" s="62" t="s">
        <v>83</v>
      </c>
      <c r="N600" s="86">
        <v>1.786250241953573E-14</v>
      </c>
      <c r="O600" s="86">
        <f>AC588+4*L578</f>
        <v>319.33333333333331</v>
      </c>
      <c r="P600" s="86">
        <f>N600*1.5*((O600-K600)*500/2)</f>
        <v>5.023828805494424E-10</v>
      </c>
    </row>
    <row r="601" spans="1:20" ht="24.75" x14ac:dyDescent="0.25">
      <c r="A601" s="62" t="s">
        <v>52</v>
      </c>
      <c r="B601" s="86">
        <v>0.99997053486180598</v>
      </c>
      <c r="C601" s="88">
        <f>AC585</f>
        <v>77</v>
      </c>
      <c r="D601" s="86">
        <f>MAX(B601*1.5*((C601-F585)*500/2),0)</f>
        <v>374.98895057317725</v>
      </c>
      <c r="E601" s="62" t="s">
        <v>56</v>
      </c>
      <c r="F601" s="86">
        <v>1.8112048453096093E-4</v>
      </c>
      <c r="G601" s="86">
        <f>AC586+1*L578</f>
        <v>142.66666666666666</v>
      </c>
      <c r="H601" s="86">
        <f>F601*1.5*((G601-F586)*500/2+(G601-F587)*500+(G601-F588)*500)</f>
        <v>8.58058295465427</v>
      </c>
      <c r="I601" s="62" t="s">
        <v>60</v>
      </c>
      <c r="J601" s="86">
        <v>4.5078295756797619E-7</v>
      </c>
      <c r="K601" s="86">
        <f>AC587+2*L578</f>
        <v>232.33333333333331</v>
      </c>
      <c r="L601" s="86">
        <f>J601*1.5*((K601-G601)*500/2+(K601-G601)*500)</f>
        <v>4.5472730844669601E-2</v>
      </c>
      <c r="M601" s="62" t="s">
        <v>59</v>
      </c>
      <c r="N601" s="86">
        <v>6.1720147994558586E-10</v>
      </c>
      <c r="O601" s="86">
        <f>AC588+3*L578</f>
        <v>307.33333333333331</v>
      </c>
      <c r="P601" s="86">
        <f>N601*1.5*((O601-K601)*500/2)</f>
        <v>1.7358791623469601E-5</v>
      </c>
    </row>
    <row r="602" spans="1:20" x14ac:dyDescent="0.25">
      <c r="A602" s="86"/>
      <c r="B602" s="86"/>
      <c r="C602" s="89" t="s">
        <v>89</v>
      </c>
      <c r="D602" s="89">
        <f>SUM(D600:D601)</f>
        <v>375.13259312187324</v>
      </c>
      <c r="E602" s="62" t="s">
        <v>52</v>
      </c>
      <c r="F602" s="86">
        <v>0.99981887504666</v>
      </c>
      <c r="G602" s="86">
        <f>AC586+0*L578</f>
        <v>130.66666666666666</v>
      </c>
      <c r="H602" s="86">
        <f>F602*1.5*((G602-F586)*500/2+(G602-F587)*500)</f>
        <v>6373.845328422447</v>
      </c>
      <c r="I602" s="62" t="s">
        <v>56</v>
      </c>
      <c r="J602" s="86">
        <v>2.9760809480917334E-5</v>
      </c>
      <c r="K602" s="86">
        <f>AC587+1*L578</f>
        <v>220.33333333333331</v>
      </c>
      <c r="L602" s="86">
        <f>J602*1.5*((K602-F588)*500/2+(K602-G602)*500)</f>
        <v>3.2774091440860209</v>
      </c>
      <c r="M602" s="62" t="s">
        <v>60</v>
      </c>
      <c r="N602" s="86">
        <v>4.7395424479457136E-6</v>
      </c>
      <c r="O602" s="86">
        <f>AC588+2*L578</f>
        <v>295.33333333333331</v>
      </c>
      <c r="P602" s="86">
        <f>N602*1.5*((O602-K602)*500/2)</f>
        <v>0.1332996313484732</v>
      </c>
    </row>
    <row r="603" spans="1:20" x14ac:dyDescent="0.25">
      <c r="A603" s="86"/>
      <c r="B603" s="86"/>
      <c r="C603" s="86"/>
      <c r="D603" s="86"/>
      <c r="E603" s="86"/>
      <c r="F603" s="86"/>
      <c r="G603" s="89" t="s">
        <v>79</v>
      </c>
      <c r="H603" s="89">
        <f>SUM(H600:H602)</f>
        <v>6382.426223635136</v>
      </c>
      <c r="I603" s="62" t="s">
        <v>52</v>
      </c>
      <c r="J603" s="86">
        <v>0.9973550768669448</v>
      </c>
      <c r="K603" s="86">
        <f>AC587+0*L578</f>
        <v>208.33333333333331</v>
      </c>
      <c r="L603" s="86">
        <f>J603*1.5*((K603-F587)*500/2+(K603-G602)*500)</f>
        <v>83653.157072214992</v>
      </c>
      <c r="M603" s="62" t="s">
        <v>56</v>
      </c>
      <c r="N603" s="86">
        <v>4.2579518265960462E-3</v>
      </c>
      <c r="O603" s="86">
        <f>AC588+1*L578</f>
        <v>283.33333333333331</v>
      </c>
      <c r="P603" s="86">
        <f>N603*1.5*((O603-K603)*500/2)</f>
        <v>119.7548951230138</v>
      </c>
    </row>
    <row r="604" spans="1:20" x14ac:dyDescent="0.25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9" t="s">
        <v>79</v>
      </c>
      <c r="L604" s="89">
        <f>SUM(L600:L603)</f>
        <v>83656.479955200775</v>
      </c>
      <c r="M604" s="62" t="s">
        <v>52</v>
      </c>
      <c r="N604" s="86">
        <v>0.99573730788874715</v>
      </c>
      <c r="O604" s="86">
        <f>AC588+0*L578</f>
        <v>271.33333333333331</v>
      </c>
      <c r="P604" s="86">
        <f>N604*1.5*((O604-K603)*500/2)</f>
        <v>23524.293898871652</v>
      </c>
      <c r="Q604" s="179" t="s">
        <v>80</v>
      </c>
      <c r="R604" s="179"/>
      <c r="S604" s="180">
        <f>D602+H603+L604+P605</f>
        <v>114058.22088294309</v>
      </c>
      <c r="T604" s="180"/>
    </row>
    <row r="605" spans="1:20" x14ac:dyDescent="0.25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9" t="s">
        <v>79</v>
      </c>
      <c r="P605" s="89">
        <f>SUM(P600:P604)</f>
        <v>23644.182110985308</v>
      </c>
      <c r="Q605" s="179"/>
      <c r="R605" s="179"/>
      <c r="S605" s="180"/>
      <c r="T605" s="180"/>
    </row>
    <row r="606" spans="1:20" x14ac:dyDescent="0.25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</row>
    <row r="607" spans="1:20" x14ac:dyDescent="0.25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</row>
    <row r="608" spans="1:20" x14ac:dyDescent="0.25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</row>
    <row r="609" spans="1:34" ht="24.75" thickBot="1" x14ac:dyDescent="0.3">
      <c r="O609" s="131" t="s">
        <v>81</v>
      </c>
      <c r="P609" s="131"/>
      <c r="Q609" s="131">
        <f>(R595+P595+M596+S604)/AC588</f>
        <v>936.33416734384946</v>
      </c>
      <c r="R609" s="131"/>
    </row>
    <row r="610" spans="1:34" x14ac:dyDescent="0.25">
      <c r="A610" s="181" t="s">
        <v>121</v>
      </c>
      <c r="B610" s="182"/>
    </row>
    <row r="611" spans="1:34" ht="15.75" thickBot="1" x14ac:dyDescent="0.3">
      <c r="A611" s="183"/>
      <c r="B611" s="184"/>
    </row>
    <row r="612" spans="1:34" ht="21" x14ac:dyDescent="0.35">
      <c r="A612" s="185" t="s">
        <v>14</v>
      </c>
      <c r="B612" s="185"/>
      <c r="C612" s="165"/>
      <c r="D612" s="165"/>
      <c r="E612" s="165"/>
      <c r="F612" s="165"/>
      <c r="G612" s="165"/>
      <c r="H612" s="165"/>
      <c r="I612" s="165"/>
      <c r="J612" s="165"/>
      <c r="K612" s="165"/>
      <c r="L612" s="165"/>
      <c r="M612" s="165"/>
      <c r="O612" s="166" t="s">
        <v>72</v>
      </c>
      <c r="P612" s="166"/>
      <c r="Q612" s="166"/>
      <c r="R612" s="166"/>
      <c r="S612" s="166"/>
      <c r="T612" s="166"/>
      <c r="U612" s="166"/>
      <c r="V612" s="166"/>
    </row>
    <row r="613" spans="1:34" ht="36" x14ac:dyDescent="0.25">
      <c r="A613" s="4" t="s">
        <v>15</v>
      </c>
      <c r="B613" s="4" t="s">
        <v>16</v>
      </c>
      <c r="C613" s="4" t="s">
        <v>31</v>
      </c>
      <c r="D613" s="6" t="s">
        <v>17</v>
      </c>
      <c r="E613" s="6" t="s">
        <v>18</v>
      </c>
      <c r="F613" s="6" t="s">
        <v>19</v>
      </c>
      <c r="G613" s="6" t="s">
        <v>20</v>
      </c>
      <c r="H613" s="6" t="s">
        <v>21</v>
      </c>
      <c r="I613" s="6" t="s">
        <v>22</v>
      </c>
      <c r="J613" s="6" t="s">
        <v>23</v>
      </c>
      <c r="K613" s="6" t="s">
        <v>24</v>
      </c>
      <c r="L613" s="6" t="s">
        <v>25</v>
      </c>
      <c r="M613" s="6" t="s">
        <v>26</v>
      </c>
      <c r="N613" s="8"/>
      <c r="O613" s="167" t="s">
        <v>32</v>
      </c>
      <c r="P613" s="167" t="s">
        <v>35</v>
      </c>
      <c r="Q613" s="167" t="s">
        <v>66</v>
      </c>
      <c r="R613" s="99" t="s">
        <v>67</v>
      </c>
      <c r="S613" s="99" t="s">
        <v>68</v>
      </c>
      <c r="T613" s="167" t="s">
        <v>69</v>
      </c>
      <c r="U613" s="71" t="s">
        <v>33</v>
      </c>
      <c r="V613" s="99" t="s">
        <v>70</v>
      </c>
    </row>
    <row r="614" spans="1:34" x14ac:dyDescent="0.25">
      <c r="A614" s="3" t="s">
        <v>27</v>
      </c>
      <c r="B614" s="3">
        <v>0</v>
      </c>
      <c r="C614" s="3">
        <v>0.3</v>
      </c>
      <c r="D614" s="3">
        <v>243</v>
      </c>
      <c r="E614" s="3">
        <v>1.73</v>
      </c>
      <c r="F614" s="3">
        <v>5</v>
      </c>
      <c r="G614" s="169">
        <v>12</v>
      </c>
      <c r="H614" s="3">
        <v>1820</v>
      </c>
      <c r="I614" s="169">
        <v>19645</v>
      </c>
      <c r="J614" s="3">
        <v>20</v>
      </c>
      <c r="K614" s="3">
        <v>40</v>
      </c>
      <c r="L614" s="3">
        <v>500</v>
      </c>
      <c r="M614" s="3">
        <v>1000</v>
      </c>
      <c r="O614" s="168"/>
      <c r="P614" s="168"/>
      <c r="Q614" s="168"/>
      <c r="R614" s="72" t="s">
        <v>71</v>
      </c>
      <c r="S614" s="72" t="s">
        <v>71</v>
      </c>
      <c r="T614" s="168"/>
      <c r="U614" s="73">
        <v>500</v>
      </c>
      <c r="V614" s="3">
        <v>1.5</v>
      </c>
    </row>
    <row r="615" spans="1:34" x14ac:dyDescent="0.25">
      <c r="A615" s="3" t="s">
        <v>28</v>
      </c>
      <c r="B615" s="3">
        <v>0</v>
      </c>
      <c r="C615" s="3">
        <v>0.3</v>
      </c>
      <c r="D615" s="3">
        <v>254</v>
      </c>
      <c r="E615" s="3">
        <v>1.88</v>
      </c>
      <c r="F615" s="3">
        <v>3</v>
      </c>
      <c r="G615" s="170"/>
      <c r="H615" s="3">
        <v>2720</v>
      </c>
      <c r="I615" s="170"/>
      <c r="J615" s="5"/>
      <c r="K615" s="5"/>
      <c r="L615" s="5"/>
      <c r="M615" s="5"/>
      <c r="O615" s="74">
        <v>1</v>
      </c>
      <c r="P615" s="74">
        <v>106</v>
      </c>
      <c r="Q615" s="74">
        <v>110</v>
      </c>
      <c r="R615" s="74">
        <v>6</v>
      </c>
      <c r="S615" s="74">
        <v>5</v>
      </c>
      <c r="T615" s="74">
        <f>R615*$U$5/60+S615</f>
        <v>55</v>
      </c>
      <c r="U615" s="75"/>
    </row>
    <row r="616" spans="1:34" x14ac:dyDescent="0.25">
      <c r="A616" s="3" t="s">
        <v>29</v>
      </c>
      <c r="B616" s="3">
        <v>0</v>
      </c>
      <c r="C616" s="3">
        <v>0.3</v>
      </c>
      <c r="D616" s="3">
        <v>143</v>
      </c>
      <c r="E616" s="3">
        <v>2.4300000000000002</v>
      </c>
      <c r="F616" s="3">
        <v>8</v>
      </c>
      <c r="G616" s="170"/>
      <c r="H616" s="3">
        <v>3700</v>
      </c>
      <c r="I616" s="170"/>
      <c r="J616" s="5"/>
      <c r="K616" s="140" t="s">
        <v>73</v>
      </c>
      <c r="L616" s="141">
        <v>12</v>
      </c>
      <c r="M616" s="140" t="s">
        <v>74</v>
      </c>
      <c r="N616" s="141">
        <v>19645</v>
      </c>
      <c r="O616" s="74">
        <v>2</v>
      </c>
      <c r="P616" s="74">
        <v>76</v>
      </c>
      <c r="Q616" s="74">
        <v>40</v>
      </c>
      <c r="R616" s="74">
        <v>9</v>
      </c>
      <c r="S616" s="74">
        <v>2</v>
      </c>
      <c r="T616" s="74">
        <f t="shared" ref="T616:T618" si="64">R616*$U$5/60+S616</f>
        <v>77</v>
      </c>
      <c r="U616" s="75"/>
    </row>
    <row r="617" spans="1:34" x14ac:dyDescent="0.25">
      <c r="A617" s="3" t="s">
        <v>30</v>
      </c>
      <c r="B617" s="3">
        <v>0</v>
      </c>
      <c r="C617" s="3">
        <v>0.3</v>
      </c>
      <c r="D617" s="3">
        <v>449</v>
      </c>
      <c r="E617" s="3">
        <v>2.5299999999999998</v>
      </c>
      <c r="F617" s="3">
        <v>4</v>
      </c>
      <c r="G617" s="171"/>
      <c r="H617" s="3">
        <v>4320</v>
      </c>
      <c r="I617" s="171"/>
      <c r="J617" s="5"/>
      <c r="K617" s="140"/>
      <c r="L617" s="141"/>
      <c r="M617" s="140"/>
      <c r="N617" s="141"/>
      <c r="O617" s="74">
        <v>3</v>
      </c>
      <c r="P617" s="74">
        <v>95</v>
      </c>
      <c r="Q617" s="74">
        <v>67</v>
      </c>
      <c r="R617" s="74">
        <v>5</v>
      </c>
      <c r="S617" s="74">
        <v>4</v>
      </c>
      <c r="T617" s="74">
        <f t="shared" si="64"/>
        <v>45.666666666666664</v>
      </c>
      <c r="U617" s="75"/>
    </row>
    <row r="618" spans="1:34" ht="15.75" thickBo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O618" s="74">
        <v>4</v>
      </c>
      <c r="P618" s="74">
        <v>140</v>
      </c>
      <c r="Q618" s="94">
        <v>85</v>
      </c>
      <c r="R618" s="94">
        <v>8</v>
      </c>
      <c r="S618" s="94">
        <v>3</v>
      </c>
      <c r="T618" s="74">
        <f t="shared" si="64"/>
        <v>69.666666666666671</v>
      </c>
    </row>
    <row r="619" spans="1:34" x14ac:dyDescent="0.25">
      <c r="A619" s="142" t="s">
        <v>36</v>
      </c>
      <c r="B619" s="144" t="s">
        <v>106</v>
      </c>
      <c r="C619" s="144"/>
      <c r="D619" s="144"/>
      <c r="E619" s="144"/>
      <c r="F619" s="20" t="s">
        <v>27</v>
      </c>
      <c r="G619" s="20" t="s">
        <v>28</v>
      </c>
      <c r="H619" s="20" t="s">
        <v>29</v>
      </c>
      <c r="I619" s="20" t="s">
        <v>30</v>
      </c>
    </row>
    <row r="620" spans="1:34" ht="15.75" thickBot="1" x14ac:dyDescent="0.3">
      <c r="A620" s="143"/>
      <c r="B620" s="145"/>
      <c r="C620" s="145"/>
      <c r="D620" s="145"/>
      <c r="E620" s="145"/>
      <c r="F620" s="20">
        <v>126</v>
      </c>
      <c r="G620" s="26">
        <v>91</v>
      </c>
      <c r="H620" s="26">
        <v>67</v>
      </c>
      <c r="I620" s="26">
        <v>201</v>
      </c>
    </row>
    <row r="621" spans="1:34" ht="15.75" thickBot="1" x14ac:dyDescent="0.3">
      <c r="A621" s="143"/>
      <c r="B621" s="145"/>
      <c r="C621" s="145"/>
      <c r="D621" s="145"/>
      <c r="E621" s="145"/>
      <c r="F621" s="7"/>
      <c r="G621" s="146" t="s">
        <v>27</v>
      </c>
      <c r="H621" s="147"/>
      <c r="I621" s="147"/>
      <c r="J621" s="147"/>
      <c r="K621" s="148"/>
      <c r="L621" s="149" t="s">
        <v>28</v>
      </c>
      <c r="M621" s="150"/>
      <c r="N621" s="150"/>
      <c r="O621" s="150"/>
      <c r="P621" s="151"/>
      <c r="Q621" s="152" t="s">
        <v>29</v>
      </c>
      <c r="R621" s="153"/>
      <c r="S621" s="153"/>
      <c r="T621" s="153"/>
      <c r="U621" s="154"/>
      <c r="V621" s="155" t="s">
        <v>30</v>
      </c>
      <c r="W621" s="156"/>
      <c r="X621" s="156"/>
      <c r="Y621" s="156"/>
      <c r="Z621" s="157"/>
      <c r="AA621" s="158" t="s">
        <v>42</v>
      </c>
      <c r="AB621" s="159"/>
      <c r="AC621" s="160" t="s">
        <v>44</v>
      </c>
      <c r="AD621" s="162" t="s">
        <v>47</v>
      </c>
      <c r="AE621" s="163"/>
      <c r="AF621" s="163"/>
      <c r="AG621" s="164"/>
      <c r="AH621" s="138" t="s">
        <v>62</v>
      </c>
    </row>
    <row r="622" spans="1:34" ht="36.75" x14ac:dyDescent="0.25">
      <c r="A622" s="21" t="s">
        <v>32</v>
      </c>
      <c r="B622" s="22" t="s">
        <v>37</v>
      </c>
      <c r="C622" s="23" t="s">
        <v>33</v>
      </c>
      <c r="D622" s="22" t="s">
        <v>38</v>
      </c>
      <c r="E622" s="22" t="s">
        <v>34</v>
      </c>
      <c r="F622" s="25" t="s">
        <v>35</v>
      </c>
      <c r="G622" s="27" t="s">
        <v>39</v>
      </c>
      <c r="H622" s="10" t="s">
        <v>40</v>
      </c>
      <c r="I622" s="10" t="s">
        <v>45</v>
      </c>
      <c r="J622" s="10" t="s">
        <v>46</v>
      </c>
      <c r="K622" s="28" t="s">
        <v>41</v>
      </c>
      <c r="L622" s="30" t="s">
        <v>39</v>
      </c>
      <c r="M622" s="13" t="s">
        <v>40</v>
      </c>
      <c r="N622" s="13" t="s">
        <v>45</v>
      </c>
      <c r="O622" s="13" t="s">
        <v>46</v>
      </c>
      <c r="P622" s="31" t="s">
        <v>41</v>
      </c>
      <c r="Q622" s="33" t="s">
        <v>39</v>
      </c>
      <c r="R622" s="12" t="s">
        <v>40</v>
      </c>
      <c r="S622" s="12" t="s">
        <v>45</v>
      </c>
      <c r="T622" s="12" t="s">
        <v>46</v>
      </c>
      <c r="U622" s="34" t="s">
        <v>41</v>
      </c>
      <c r="V622" s="36" t="s">
        <v>39</v>
      </c>
      <c r="W622" s="11" t="s">
        <v>40</v>
      </c>
      <c r="X622" s="11" t="s">
        <v>45</v>
      </c>
      <c r="Y622" s="11" t="s">
        <v>46</v>
      </c>
      <c r="Z622" s="37" t="s">
        <v>41</v>
      </c>
      <c r="AA622" s="39" t="s">
        <v>41</v>
      </c>
      <c r="AB622" s="40" t="s">
        <v>43</v>
      </c>
      <c r="AC622" s="161"/>
      <c r="AD622" s="43" t="s">
        <v>27</v>
      </c>
      <c r="AE622" s="1" t="s">
        <v>28</v>
      </c>
      <c r="AF622" s="1" t="s">
        <v>29</v>
      </c>
      <c r="AG622" s="1" t="s">
        <v>30</v>
      </c>
      <c r="AH622" s="139"/>
    </row>
    <row r="623" spans="1:34" x14ac:dyDescent="0.25">
      <c r="A623" s="24">
        <v>2</v>
      </c>
      <c r="B623" s="9">
        <v>9</v>
      </c>
      <c r="C623" s="9">
        <v>500</v>
      </c>
      <c r="D623" s="9">
        <v>2</v>
      </c>
      <c r="E623" s="48">
        <f>B623*C623/60+D623</f>
        <v>77</v>
      </c>
      <c r="F623" s="100">
        <v>76</v>
      </c>
      <c r="G623" s="49">
        <f>B$5*(1-AD623*C$5)</f>
        <v>0</v>
      </c>
      <c r="H623" s="50">
        <f>G623+E623</f>
        <v>77</v>
      </c>
      <c r="I623" s="15">
        <f>(H623/D$5)^E$5</f>
        <v>0.13693992990275231</v>
      </c>
      <c r="J623" s="15">
        <f>(G623/D$5)^E$5</f>
        <v>0</v>
      </c>
      <c r="K623" s="29">
        <f>1-EXP(J623-I623)</f>
        <v>0.1279773929583623</v>
      </c>
      <c r="L623" s="51">
        <f>B$6*(1-AE623*C$6)</f>
        <v>0</v>
      </c>
      <c r="M623" s="52">
        <f>L623+E623</f>
        <v>77</v>
      </c>
      <c r="N623" s="17">
        <f>(M623/D$6)^E$6</f>
        <v>0.10605109964467559</v>
      </c>
      <c r="O623" s="17">
        <f>(L623/D$6)^E$6</f>
        <v>0</v>
      </c>
      <c r="P623" s="32">
        <f>1-EXP(O623-N623)</f>
        <v>0.10062131102974814</v>
      </c>
      <c r="Q623" s="53">
        <f>B$7*(1-AF623*C$7)</f>
        <v>0</v>
      </c>
      <c r="R623" s="54">
        <f>Q623+E623</f>
        <v>77</v>
      </c>
      <c r="S623" s="16">
        <f>(R623/D$7)^E$7</f>
        <v>0.2221804751105394</v>
      </c>
      <c r="T623" s="16">
        <f>(Q623/D$7)^E$7</f>
        <v>0</v>
      </c>
      <c r="U623" s="35">
        <f>1-EXP(T623-S623)</f>
        <v>0.19922916791162293</v>
      </c>
      <c r="V623" s="55">
        <f>B$8*(1-AG623*C$8)</f>
        <v>0</v>
      </c>
      <c r="W623" s="56">
        <f>V623+E623</f>
        <v>77</v>
      </c>
      <c r="X623" s="18">
        <f>(W623/D$8)^E$8</f>
        <v>1.1551497592884551E-2</v>
      </c>
      <c r="Y623" s="18">
        <f>(V623/D$8)^E$8</f>
        <v>0</v>
      </c>
      <c r="Z623" s="38">
        <f>1-EXP(Y623-X623)</f>
        <v>1.1485035204098715E-2</v>
      </c>
      <c r="AA623" s="41">
        <f>K623*P623*U623*Z623</f>
        <v>2.9465138194053318E-5</v>
      </c>
      <c r="AB623" s="42">
        <f>1-AA623</f>
        <v>0.99997053486180598</v>
      </c>
      <c r="AC623" s="47">
        <f>(AD623*F$5+AE623*F$6+AF623*F$7+AG623*F$8)+E623</f>
        <v>77</v>
      </c>
      <c r="AD623" s="43">
        <v>0</v>
      </c>
      <c r="AE623" s="1">
        <v>0</v>
      </c>
      <c r="AF623" s="1">
        <v>0</v>
      </c>
      <c r="AG623" s="1">
        <v>0</v>
      </c>
      <c r="AH623" s="74">
        <v>40</v>
      </c>
    </row>
    <row r="624" spans="1:34" x14ac:dyDescent="0.25">
      <c r="A624" s="76">
        <v>4</v>
      </c>
      <c r="B624" s="58">
        <v>8</v>
      </c>
      <c r="C624" s="9">
        <v>500</v>
      </c>
      <c r="D624" s="58">
        <v>3</v>
      </c>
      <c r="E624" s="48">
        <f t="shared" ref="E624:E626" si="65">B624*C624/60+D624</f>
        <v>69.666666666666671</v>
      </c>
      <c r="F624" s="100">
        <v>140</v>
      </c>
      <c r="G624" s="49">
        <f>H623*(1-AD624*C$5)</f>
        <v>77</v>
      </c>
      <c r="H624" s="50">
        <f>G624+E624</f>
        <v>146.66666666666669</v>
      </c>
      <c r="I624" s="15">
        <f>(H624/D$5)^E$5</f>
        <v>0.41749810283193062</v>
      </c>
      <c r="J624" s="15">
        <f>(G624/D$5)^E$5</f>
        <v>0.13693992990275231</v>
      </c>
      <c r="K624" s="29">
        <f>1-EXP(J624-I624)</f>
        <v>0.24463799885610593</v>
      </c>
      <c r="L624" s="51">
        <f>M623*(1-AE624*C$6)</f>
        <v>77</v>
      </c>
      <c r="M624" s="52">
        <f>L624+E624</f>
        <v>146.66666666666669</v>
      </c>
      <c r="N624" s="17">
        <f>(M624/D$6)^E$6</f>
        <v>0.35613584348340649</v>
      </c>
      <c r="O624" s="17">
        <f>(L624/D$6)^E$6</f>
        <v>0.10605109964467559</v>
      </c>
      <c r="P624" s="32">
        <f>1-EXP(O624-N624)</f>
        <v>0.2212652127001522</v>
      </c>
      <c r="Q624" s="53">
        <f>R623*(1-AF624*C$7)</f>
        <v>53.9</v>
      </c>
      <c r="R624" s="54">
        <f>Q624+E624</f>
        <v>123.56666666666666</v>
      </c>
      <c r="S624" s="16">
        <f>(R624/D$7)^E$7</f>
        <v>0.70121898217618051</v>
      </c>
      <c r="T624" s="16">
        <f>(Q624/D$7)^E$7</f>
        <v>9.3388656656360772E-2</v>
      </c>
      <c r="U624" s="35">
        <f>1-EXP(T624-S624)</f>
        <v>0.45546895657697373</v>
      </c>
      <c r="V624" s="55">
        <f>W623*(1-AG624*C$8)</f>
        <v>77</v>
      </c>
      <c r="W624" s="56">
        <f>V624+E624</f>
        <v>146.66666666666669</v>
      </c>
      <c r="X624" s="18">
        <f>(W624/D$8)^E$8</f>
        <v>5.897056032024859E-2</v>
      </c>
      <c r="Y624" s="18">
        <f>(V624/D$8)^E$8</f>
        <v>1.1551497592884551E-2</v>
      </c>
      <c r="Z624" s="38">
        <f>1-EXP(Y624-X624)</f>
        <v>4.631234111296112E-2</v>
      </c>
      <c r="AA624" s="41">
        <f>K624*P624*U624*Z624</f>
        <v>1.1418066617924669E-3</v>
      </c>
      <c r="AB624" s="42">
        <f>1-AA624</f>
        <v>0.99885819333820758</v>
      </c>
      <c r="AC624" s="47">
        <f>AF624*F$7+E624+AC623</f>
        <v>154.66666666666669</v>
      </c>
      <c r="AD624" s="43">
        <v>0</v>
      </c>
      <c r="AE624" s="1">
        <v>0</v>
      </c>
      <c r="AF624" s="1">
        <v>1</v>
      </c>
      <c r="AG624" s="1">
        <v>0</v>
      </c>
      <c r="AH624" s="74">
        <v>85</v>
      </c>
    </row>
    <row r="625" spans="1:34" x14ac:dyDescent="0.25">
      <c r="A625" s="24">
        <v>1</v>
      </c>
      <c r="B625" s="9">
        <v>6</v>
      </c>
      <c r="C625" s="58">
        <v>500</v>
      </c>
      <c r="D625" s="58">
        <v>5</v>
      </c>
      <c r="E625" s="48">
        <f t="shared" si="65"/>
        <v>55</v>
      </c>
      <c r="F625" s="100">
        <v>106</v>
      </c>
      <c r="G625" s="68">
        <f>H624*(1-AD625*C$5)</f>
        <v>102.66666666666667</v>
      </c>
      <c r="H625" s="69">
        <f>G625+E625</f>
        <v>157.66666666666669</v>
      </c>
      <c r="I625" s="70">
        <f>(H625/D$5)^E$5</f>
        <v>0.47314161668142424</v>
      </c>
      <c r="J625" s="70">
        <f>(G625/D$5)^E$5</f>
        <v>0.22525483181366224</v>
      </c>
      <c r="K625" s="29">
        <f>1-EXP(J625-I625)</f>
        <v>0.21955170316640893</v>
      </c>
      <c r="L625" s="51">
        <f>M624*(1-AE625*C$6)</f>
        <v>102.66666666666667</v>
      </c>
      <c r="M625" s="52">
        <f>L625+E625</f>
        <v>157.66666666666669</v>
      </c>
      <c r="N625" s="17">
        <f>(M625/D$6)^E$6</f>
        <v>0.40800322739554595</v>
      </c>
      <c r="O625" s="17">
        <f>(L625/D$6)^E$6</f>
        <v>0.18213776408892768</v>
      </c>
      <c r="P625" s="32">
        <f>1-EXP(O625-N625)</f>
        <v>0.20217456875895568</v>
      </c>
      <c r="Q625" s="53">
        <f>R624*(1-AF625*C$7)</f>
        <v>86.496666666666655</v>
      </c>
      <c r="R625" s="54">
        <f>Q625+E625</f>
        <v>141.49666666666667</v>
      </c>
      <c r="S625" s="16">
        <f>(R625/D$7)^E$7</f>
        <v>0.97464557829616827</v>
      </c>
      <c r="T625" s="16">
        <f>(Q625/D$7)^E$7</f>
        <v>0.29474191525962606</v>
      </c>
      <c r="U625" s="35">
        <f>1-EXP(T625-S625)</f>
        <v>0.49333419934074618</v>
      </c>
      <c r="V625" s="55">
        <f>W624*(1-AG625*C$8)</f>
        <v>146.66666666666669</v>
      </c>
      <c r="W625" s="56">
        <f>V625+E625</f>
        <v>201.66666666666669</v>
      </c>
      <c r="X625" s="18">
        <f>(W625/D$8)^E$8</f>
        <v>0.13199001575183039</v>
      </c>
      <c r="Y625" s="18">
        <f>(V625/D$8)^E$8</f>
        <v>5.897056032024859E-2</v>
      </c>
      <c r="Z625" s="38">
        <f>1-EXP(Y625-X625)</f>
        <v>7.0417255583621996E-2</v>
      </c>
      <c r="AA625" s="41">
        <f>K625*P625*U625*Z625</f>
        <v>1.5419974445302904E-3</v>
      </c>
      <c r="AB625" s="42">
        <f>1-AA625</f>
        <v>0.99845800255546968</v>
      </c>
      <c r="AC625" s="47">
        <f>(AF625*F$7)+E625+AC624</f>
        <v>217.66666666666669</v>
      </c>
      <c r="AD625" s="77">
        <v>1</v>
      </c>
      <c r="AE625" s="78">
        <v>1</v>
      </c>
      <c r="AF625" s="78">
        <v>1</v>
      </c>
      <c r="AG625" s="78">
        <v>0</v>
      </c>
      <c r="AH625" s="74">
        <v>110</v>
      </c>
    </row>
    <row r="626" spans="1:34" ht="15.75" thickBot="1" x14ac:dyDescent="0.3">
      <c r="A626" s="57">
        <v>3</v>
      </c>
      <c r="B626" s="58">
        <v>5</v>
      </c>
      <c r="C626" s="58">
        <v>500</v>
      </c>
      <c r="D626" s="9">
        <v>4</v>
      </c>
      <c r="E626" s="48">
        <f t="shared" si="65"/>
        <v>45.666666666666664</v>
      </c>
      <c r="F626" s="100">
        <v>95</v>
      </c>
      <c r="G626" s="68">
        <f>H625*(1-AD626*C$5)</f>
        <v>110.36666666666667</v>
      </c>
      <c r="H626" s="69">
        <f>G626+E626</f>
        <v>156.03333333333333</v>
      </c>
      <c r="I626" s="70">
        <f>(H626/D$5)^E$5</f>
        <v>0.46469417134425517</v>
      </c>
      <c r="J626" s="70">
        <f>(G626/D$5)^E$5</f>
        <v>0.25527645411246963</v>
      </c>
      <c r="K626" s="29">
        <f>1-EXP(J626-I626)</f>
        <v>0.18894362734892267</v>
      </c>
      <c r="L626" s="51">
        <f>M625*(1-AE626*C$6)</f>
        <v>110.36666666666667</v>
      </c>
      <c r="M626" s="52">
        <f>L626+E626</f>
        <v>156.03333333333333</v>
      </c>
      <c r="N626" s="17">
        <f>(M626/D$6)^E$6</f>
        <v>0.40009331888325944</v>
      </c>
      <c r="O626" s="17">
        <f>(L626/D$6)^E$6</f>
        <v>0.20866418513797683</v>
      </c>
      <c r="P626" s="32">
        <f>1-EXP(O626-N626)</f>
        <v>0.17422185716279748</v>
      </c>
      <c r="Q626" s="53">
        <f>R625*(1-AF626*C$7)</f>
        <v>99.047666666666657</v>
      </c>
      <c r="R626" s="54">
        <f>Q626+E626</f>
        <v>144.71433333333331</v>
      </c>
      <c r="S626" s="16">
        <f>(R626/D$7)^E$7</f>
        <v>1.0293818137063784</v>
      </c>
      <c r="T626" s="16">
        <f>(Q626/D$7)^E$7</f>
        <v>0.40967074729611713</v>
      </c>
      <c r="U626" s="35">
        <f>1-EXP(T626-S626)</f>
        <v>0.46190010973122309</v>
      </c>
      <c r="V626" s="55">
        <f>W625*(1-AG626*C$8)</f>
        <v>141.16666666666666</v>
      </c>
      <c r="W626" s="56">
        <f>V626+E626</f>
        <v>186.83333333333331</v>
      </c>
      <c r="X626" s="18">
        <f>(W626/D$8)^E$8</f>
        <v>0.10879183288616899</v>
      </c>
      <c r="Y626" s="18">
        <f>(V626/D$8)^E$8</f>
        <v>5.3535162088524581E-2</v>
      </c>
      <c r="Z626" s="38">
        <f>1-EXP(Y626-X626)</f>
        <v>5.3757755969894516E-2</v>
      </c>
      <c r="AA626" s="41">
        <f>K626*P626*U626*Z626</f>
        <v>8.1738014592073951E-4</v>
      </c>
      <c r="AB626" s="42">
        <f>1-AA626</f>
        <v>0.9991826198540793</v>
      </c>
      <c r="AC626" s="47">
        <f>(AF626*F$7)+E626+AC625</f>
        <v>271.33333333333337</v>
      </c>
      <c r="AD626" s="80">
        <v>1</v>
      </c>
      <c r="AE626" s="45">
        <v>1</v>
      </c>
      <c r="AF626" s="81">
        <v>1</v>
      </c>
      <c r="AG626" s="45">
        <v>1</v>
      </c>
      <c r="AH626" s="94">
        <v>67</v>
      </c>
    </row>
    <row r="627" spans="1:34" ht="18.75" x14ac:dyDescent="0.3">
      <c r="A627" s="132" t="s">
        <v>53</v>
      </c>
      <c r="B627" s="132"/>
      <c r="C627" s="132"/>
      <c r="D627" s="132"/>
      <c r="E627" s="132"/>
      <c r="F627" s="132"/>
      <c r="G627" s="132"/>
      <c r="H627" s="132"/>
      <c r="I627" s="132"/>
      <c r="J627" s="132"/>
      <c r="AG627" s="46"/>
    </row>
    <row r="628" spans="1:34" ht="15.75" x14ac:dyDescent="0.25">
      <c r="A628" s="19" t="s">
        <v>48</v>
      </c>
      <c r="B628" s="60" t="s">
        <v>49</v>
      </c>
      <c r="C628" s="61" t="s">
        <v>50</v>
      </c>
      <c r="D628" s="19" t="s">
        <v>82</v>
      </c>
      <c r="E628" s="60" t="s">
        <v>57</v>
      </c>
      <c r="F628" s="61" t="s">
        <v>50</v>
      </c>
      <c r="G628" s="19" t="s">
        <v>58</v>
      </c>
      <c r="H628" s="60" t="s">
        <v>61</v>
      </c>
      <c r="I628" s="61" t="s">
        <v>50</v>
      </c>
      <c r="J628" s="19" t="s">
        <v>54</v>
      </c>
      <c r="K628" s="83" t="s">
        <v>84</v>
      </c>
      <c r="L628" s="61" t="s">
        <v>50</v>
      </c>
      <c r="M628" s="61" t="s">
        <v>85</v>
      </c>
      <c r="O628" s="174" t="s">
        <v>64</v>
      </c>
      <c r="P628" s="174"/>
      <c r="Q628" s="175" t="s">
        <v>109</v>
      </c>
      <c r="R628" s="175"/>
    </row>
    <row r="629" spans="1:34" ht="24.75" x14ac:dyDescent="0.25">
      <c r="A629" s="61" t="s">
        <v>51</v>
      </c>
      <c r="B629" s="1">
        <f>AA623</f>
        <v>2.9465138194053318E-5</v>
      </c>
      <c r="C629" s="59">
        <f>MAX(AC623+1*L616-F623,0)</f>
        <v>13</v>
      </c>
      <c r="D629" s="62" t="s">
        <v>55</v>
      </c>
      <c r="E629" s="1">
        <f>AA623*AA624</f>
        <v>3.364349108060574E-8</v>
      </c>
      <c r="F629" s="1">
        <f>MAX(AC624+2*L616-F624,0)</f>
        <v>38.666666666666686</v>
      </c>
      <c r="G629" s="62" t="s">
        <v>59</v>
      </c>
      <c r="H629" s="1">
        <f>AA623*AA624*AA625</f>
        <v>5.1878177271371671E-11</v>
      </c>
      <c r="I629" s="1">
        <f>AC625+3*L616-F625</f>
        <v>147.66666666666669</v>
      </c>
      <c r="J629" s="62" t="s">
        <v>83</v>
      </c>
      <c r="K629" s="1">
        <f>AA623*AA624*AA625*AA626</f>
        <v>4.2404192108175768E-14</v>
      </c>
      <c r="L629" s="1">
        <f>AC626+4*L616-F626</f>
        <v>224.33333333333337</v>
      </c>
      <c r="M629" s="1">
        <f>B629*C629*AH623+E629*F629*AH624+H629*I629*AH625+K629*L629*AH626</f>
        <v>1.5433290113467935E-2</v>
      </c>
      <c r="O629" s="1" t="s">
        <v>27</v>
      </c>
      <c r="P629" s="1">
        <f>2*H614</f>
        <v>3640</v>
      </c>
      <c r="Q629" s="1">
        <f>(K623*(1-P623)*(1-U623)*(1-Z623))+(P623*(1-K623)*(1-U623)*(1-Z623))+(U623*(1-K623)*(1-P623)*(1-Z623))+(Z623*(1-K623)*(1-P623)*(1-U623))</f>
        <v>0.32223571239848364</v>
      </c>
      <c r="R629" s="1">
        <f>Q629*(L$7*(J$5*K$5+L$5)+I$5)</f>
        <v>11357.197683484555</v>
      </c>
    </row>
    <row r="630" spans="1:34" ht="24.75" x14ac:dyDescent="0.25">
      <c r="A630" s="62" t="s">
        <v>52</v>
      </c>
      <c r="B630" s="1">
        <f>AB623</f>
        <v>0.99997053486180598</v>
      </c>
      <c r="C630" s="59">
        <f>MAX(AC623-F623,0)</f>
        <v>1</v>
      </c>
      <c r="D630" s="62" t="s">
        <v>56</v>
      </c>
      <c r="E630" s="1">
        <f>AA623*AB624+AA624*AB623</f>
        <v>1.1712045130043592E-3</v>
      </c>
      <c r="F630" s="1">
        <f>MAX(AC624+1*L616-F624,0)</f>
        <v>26.666666666666686</v>
      </c>
      <c r="G630" s="62" t="s">
        <v>60</v>
      </c>
      <c r="H630" s="1">
        <f>AA623*AA624*AB625+AA624*AA625*AB623+AA623*AA625*AB624</f>
        <v>1.8395859789783996E-6</v>
      </c>
      <c r="I630" s="1">
        <f>AC625+2*L616-F625</f>
        <v>135.66666666666669</v>
      </c>
      <c r="J630" s="62" t="s">
        <v>59</v>
      </c>
      <c r="K630">
        <f>AB623*AA624*AA625*AA626+AB624*AA623*AA625*AA626*+AB625*AA623*AA624*AA626+AB626*AA623*AA624*AA625</f>
        <v>1.4909243116622288E-9</v>
      </c>
      <c r="L630" s="1">
        <f>AC626+3*L616-F626</f>
        <v>212.33333333333337</v>
      </c>
      <c r="M630" s="1">
        <f>B630*C630*AH623+E630*F630*AH624+H630*I630*AH625+K630*L630*AH626</f>
        <v>42.681025589094638</v>
      </c>
      <c r="O630" s="1" t="s">
        <v>28</v>
      </c>
      <c r="P630" s="1">
        <f>2*H615</f>
        <v>5440</v>
      </c>
      <c r="Q630" s="1">
        <f t="shared" ref="Q630:Q632" si="66">(K624*(1-P624)*(1-U624)*(1-Z624))+(P624*(1-K624)*(1-U624)*(1-Z624))+(U624*(1-K624)*(1-P624)*(1-Z624))+(Z624*(1-K624)*(1-P624)*(1-U624))</f>
        <v>0.45607395847716847</v>
      </c>
      <c r="R630" s="1">
        <f t="shared" ref="R630:R632" si="67">Q630*(L$7*(J$5*K$5+L$5)+I$5)</f>
        <v>16074.326666527802</v>
      </c>
    </row>
    <row r="631" spans="1:34" ht="24.75" x14ac:dyDescent="0.25">
      <c r="A631" s="1"/>
      <c r="B631" s="1"/>
      <c r="C631" s="1"/>
      <c r="D631" s="62" t="s">
        <v>52</v>
      </c>
      <c r="E631" s="1">
        <f>AB623*AB624</f>
        <v>0.99882876184350466</v>
      </c>
      <c r="F631" s="59">
        <f>MAX(AC624-F624,0)</f>
        <v>14.666666666666686</v>
      </c>
      <c r="G631" s="62" t="s">
        <v>56</v>
      </c>
      <c r="H631" s="1">
        <f>AA623*AB624*AB625+AA624*AB623*AB625*+AA625*AB623*AB624</f>
        <v>3.1141948716899222E-5</v>
      </c>
      <c r="I631" s="1">
        <f>AC625+1*L616-F625</f>
        <v>123.66666666666669</v>
      </c>
      <c r="J631" s="62" t="s">
        <v>60</v>
      </c>
      <c r="K631" s="1">
        <f>AA623*AA624*AB625*AB626 + AA623*AA625*AB624*AB626 + AA623*AA626*AB624*AB625 + AA624*AA625*AB623*AB626 + AA624*AA626*AB623*AB625 + AA625*AA626*AB623*AB624</f>
        <v>4.052847339603435E-6</v>
      </c>
      <c r="L631" s="1">
        <f>AC626+2*L616-F626</f>
        <v>200.33333333333337</v>
      </c>
      <c r="M631" s="1">
        <f>B631*C631*AH623+E631*F631*AH624+H631*I631*AH625+K631*L631*AH626</f>
        <v>1245.6845560752245</v>
      </c>
      <c r="O631" s="1" t="s">
        <v>29</v>
      </c>
      <c r="P631" s="1">
        <f>3*(F616*(J614*K614+L614)+H616)</f>
        <v>42300</v>
      </c>
      <c r="Q631" s="1">
        <f t="shared" si="66"/>
        <v>0.4645804780187599</v>
      </c>
      <c r="R631" s="1">
        <f t="shared" si="67"/>
        <v>16374.138947771193</v>
      </c>
    </row>
    <row r="632" spans="1:34" ht="24.75" x14ac:dyDescent="0.25">
      <c r="A632" s="1"/>
      <c r="B632" s="1"/>
      <c r="C632" s="1"/>
      <c r="D632" s="1"/>
      <c r="E632" s="1"/>
      <c r="F632" s="1"/>
      <c r="G632" s="62" t="s">
        <v>52</v>
      </c>
      <c r="H632" s="1">
        <f>AB623*AB624*AB625</f>
        <v>0.99728857044521857</v>
      </c>
      <c r="I632" s="63">
        <f>AC625-F625</f>
        <v>111.66666666666669</v>
      </c>
      <c r="J632" s="62" t="s">
        <v>56</v>
      </c>
      <c r="K632" s="1">
        <f>AA623*AB624*AB625*AB626+AA624*AB623*AB625*AB626+AA625*AB623*AB624*AB626+AA626*AB623*AB624*AB625</f>
        <v>3.5225390291582399E-3</v>
      </c>
      <c r="L632" s="1">
        <f>AC626+1*L616-F626</f>
        <v>188.33333333333337</v>
      </c>
      <c r="M632" s="1">
        <f>B632*C632*AH623+E632*F632*AH624+H632*I632*AH625+K632*L632*AH626</f>
        <v>12294.476511951698</v>
      </c>
      <c r="O632" s="1" t="s">
        <v>30</v>
      </c>
      <c r="P632" s="1">
        <f>1*H617</f>
        <v>4320</v>
      </c>
      <c r="Q632" s="1">
        <f t="shared" si="66"/>
        <v>0.46349432694736103</v>
      </c>
      <c r="R632" s="1">
        <f t="shared" si="67"/>
        <v>16335.857553259739</v>
      </c>
    </row>
    <row r="633" spans="1:34" ht="30" x14ac:dyDescent="0.25">
      <c r="I633" s="84"/>
      <c r="J633" s="62" t="s">
        <v>52</v>
      </c>
      <c r="K633" s="85">
        <f>AB623*AB624*AB625*AB626</f>
        <v>0.996473406567983</v>
      </c>
      <c r="L633" s="1">
        <f>AC626+0*L616-F626</f>
        <v>176.33333333333337</v>
      </c>
      <c r="M633" s="1">
        <f>B633*C633*AH623+E633*F633*AH624+H633*I633*AH625+K633*L633*AH626</f>
        <v>11772.668982996343</v>
      </c>
      <c r="O633" s="64" t="s">
        <v>65</v>
      </c>
      <c r="P633" s="65">
        <f>SUM(P629:P632)</f>
        <v>55700</v>
      </c>
      <c r="Q633" s="96" t="s">
        <v>108</v>
      </c>
      <c r="R633" s="97">
        <f>SUM(R629:R632)</f>
        <v>60141.520851043293</v>
      </c>
    </row>
    <row r="634" spans="1:34" x14ac:dyDescent="0.25">
      <c r="L634" s="176" t="s">
        <v>63</v>
      </c>
      <c r="M634" s="177">
        <f>SUM(M629:M633)</f>
        <v>25355.526509902476</v>
      </c>
    </row>
    <row r="635" spans="1:34" x14ac:dyDescent="0.25">
      <c r="L635" s="176"/>
      <c r="M635" s="177"/>
    </row>
    <row r="636" spans="1:34" x14ac:dyDescent="0.25">
      <c r="A636" s="178" t="s">
        <v>90</v>
      </c>
      <c r="B636" s="178"/>
      <c r="C636" s="178"/>
      <c r="D636" s="178"/>
      <c r="E636" s="178"/>
      <c r="F636" s="178"/>
      <c r="G636" s="178"/>
      <c r="H636" s="178"/>
      <c r="I636" s="178"/>
      <c r="J636" s="178"/>
      <c r="K636" s="178"/>
      <c r="L636" s="178"/>
      <c r="M636" s="178"/>
      <c r="N636" s="178"/>
    </row>
    <row r="637" spans="1:34" ht="15.75" x14ac:dyDescent="0.25">
      <c r="A637" s="87" t="s">
        <v>75</v>
      </c>
      <c r="B637" s="62" t="s">
        <v>49</v>
      </c>
      <c r="C637" s="90" t="s">
        <v>87</v>
      </c>
      <c r="D637" s="62" t="s">
        <v>88</v>
      </c>
      <c r="E637" s="87" t="s">
        <v>86</v>
      </c>
      <c r="F637" s="62" t="s">
        <v>57</v>
      </c>
      <c r="G637" s="90" t="s">
        <v>103</v>
      </c>
      <c r="H637" s="62" t="s">
        <v>88</v>
      </c>
      <c r="I637" s="87" t="s">
        <v>77</v>
      </c>
      <c r="J637" s="62" t="s">
        <v>61</v>
      </c>
      <c r="K637" s="90" t="s">
        <v>78</v>
      </c>
      <c r="L637" s="62" t="s">
        <v>88</v>
      </c>
      <c r="M637" s="87" t="s">
        <v>76</v>
      </c>
      <c r="N637" s="62" t="s">
        <v>84</v>
      </c>
      <c r="O637" s="90" t="s">
        <v>102</v>
      </c>
      <c r="P637" s="62" t="s">
        <v>88</v>
      </c>
    </row>
    <row r="638" spans="1:34" ht="24.75" x14ac:dyDescent="0.25">
      <c r="A638" s="62" t="s">
        <v>51</v>
      </c>
      <c r="B638" s="86">
        <v>2.9465138194053318E-5</v>
      </c>
      <c r="C638" s="86">
        <f>AC623+1*L616</f>
        <v>89</v>
      </c>
      <c r="D638" s="86">
        <f>MAX(B638*1.5*((C638-F623)*500/2),0)</f>
        <v>0.14364254869600993</v>
      </c>
      <c r="E638" s="62" t="s">
        <v>55</v>
      </c>
      <c r="F638" s="86">
        <v>3.364349108060574E-8</v>
      </c>
      <c r="G638" s="86">
        <f>AC624+2*L616</f>
        <v>178.66666666666669</v>
      </c>
      <c r="H638" s="86">
        <f>F638*1.5*((G638-F624)*500/2+(G638-F625)*500+(G638-F626)*500)</f>
        <v>4.432529949869808E-3</v>
      </c>
      <c r="I638" s="62" t="s">
        <v>59</v>
      </c>
      <c r="J638" s="86">
        <v>5.1878177271371671E-11</v>
      </c>
      <c r="K638" s="86">
        <f>AC625+3*L616</f>
        <v>253.66666666666669</v>
      </c>
      <c r="L638" s="86">
        <f>J638*1.5*((K638-G638)*500/2+(K638-G638)*500)</f>
        <v>4.3772212072719846E-6</v>
      </c>
      <c r="M638" s="62" t="s">
        <v>83</v>
      </c>
      <c r="N638" s="86">
        <v>4.2404192108175768E-14</v>
      </c>
      <c r="O638" s="86">
        <f>AC626+4*L616</f>
        <v>319.33333333333337</v>
      </c>
      <c r="P638" s="86">
        <f>N638*1.5*((O638-K638)*500/2)</f>
        <v>1.0442032306638285E-9</v>
      </c>
    </row>
    <row r="639" spans="1:34" ht="24.75" x14ac:dyDescent="0.25">
      <c r="A639" s="62" t="s">
        <v>52</v>
      </c>
      <c r="B639" s="86">
        <v>0.99997053486180598</v>
      </c>
      <c r="C639" s="88">
        <f>AC623</f>
        <v>77</v>
      </c>
      <c r="D639" s="86">
        <f>MAX(B639*1.5*((C639-F623)*500/2),0)</f>
        <v>374.98895057317725</v>
      </c>
      <c r="E639" s="62" t="s">
        <v>56</v>
      </c>
      <c r="F639" s="86">
        <v>1.1712045130043592E-3</v>
      </c>
      <c r="G639" s="86">
        <f>AC624+1*L616</f>
        <v>166.66666666666669</v>
      </c>
      <c r="H639" s="86">
        <f>F639*1.5*((G639-F624)*500/2+(G639-F625)*500+(G639-F626)*500)</f>
        <v>127.9540930457263</v>
      </c>
      <c r="I639" s="62" t="s">
        <v>60</v>
      </c>
      <c r="J639" s="86">
        <v>1.8395859789783996E-6</v>
      </c>
      <c r="K639" s="86">
        <f>AC625+2*L616</f>
        <v>241.66666666666669</v>
      </c>
      <c r="L639" s="86">
        <f>J639*1.5*((K639-G639)*500/2+(K639-G639)*500)</f>
        <v>0.15521506697630247</v>
      </c>
      <c r="M639" s="62" t="s">
        <v>59</v>
      </c>
      <c r="N639" s="86">
        <v>1.4909243116622288E-9</v>
      </c>
      <c r="O639" s="86">
        <f>AC626+3*L616</f>
        <v>307.33333333333337</v>
      </c>
      <c r="P639" s="86">
        <f>N639*1.5*((O639-K639)*500/2)</f>
        <v>3.671401117468239E-5</v>
      </c>
    </row>
    <row r="640" spans="1:34" x14ac:dyDescent="0.25">
      <c r="A640" s="86"/>
      <c r="B640" s="86"/>
      <c r="C640" s="89" t="s">
        <v>89</v>
      </c>
      <c r="D640" s="89">
        <f>SUM(D638:D639)</f>
        <v>375.13259312187324</v>
      </c>
      <c r="E640" s="62" t="s">
        <v>52</v>
      </c>
      <c r="F640" s="86">
        <v>0.99882876184350466</v>
      </c>
      <c r="G640" s="86">
        <f>AC624+0*L616</f>
        <v>154.66666666666669</v>
      </c>
      <c r="H640" s="86">
        <f>F640*1.5*((G640-F624)*500/2+(G640-F625)*500+(G640-F626)*500)</f>
        <v>86648.395089924059</v>
      </c>
      <c r="I640" s="62" t="s">
        <v>56</v>
      </c>
      <c r="J640" s="86">
        <v>3.1141948716899222E-5</v>
      </c>
      <c r="K640" s="86">
        <f>AC625+1*L616</f>
        <v>229.66666666666669</v>
      </c>
      <c r="L640" s="86">
        <f>J640*1.5*((K640-G640)*500/2+(K640-G640)*500)</f>
        <v>2.6276019229883718</v>
      </c>
      <c r="M640" s="62" t="s">
        <v>60</v>
      </c>
      <c r="N640" s="86">
        <v>4.052847339603435E-6</v>
      </c>
      <c r="O640" s="86">
        <f>AC626+2*L616</f>
        <v>295.33333333333337</v>
      </c>
      <c r="P640" s="86">
        <f>N640*1.5*((O640-K640)*500/2)</f>
        <v>9.9801365737734613E-2</v>
      </c>
    </row>
    <row r="641" spans="1:22" x14ac:dyDescent="0.25">
      <c r="A641" s="86"/>
      <c r="B641" s="86"/>
      <c r="C641" s="86"/>
      <c r="D641" s="86"/>
      <c r="E641" s="86"/>
      <c r="F641" s="86"/>
      <c r="G641" s="89" t="s">
        <v>79</v>
      </c>
      <c r="H641" s="89">
        <f>SUM(H638:H640)</f>
        <v>86776.353615499742</v>
      </c>
      <c r="I641" s="62" t="s">
        <v>52</v>
      </c>
      <c r="J641" s="86">
        <v>0.99728857044521857</v>
      </c>
      <c r="K641" s="86">
        <f>AC625+0*L616</f>
        <v>217.66666666666669</v>
      </c>
      <c r="L641" s="86">
        <f>J641*1.5*((K641-F640)*500/2+(K641-G640)*500)</f>
        <v>128152.01932562064</v>
      </c>
      <c r="M641" s="62" t="s">
        <v>56</v>
      </c>
      <c r="N641" s="86">
        <v>3.5225390291582399E-3</v>
      </c>
      <c r="O641" s="86">
        <f>AC626+1*L616</f>
        <v>283.33333333333337</v>
      </c>
      <c r="P641" s="86">
        <f>N641*1.5*((O641-K641)*500/2)</f>
        <v>86.742523593021687</v>
      </c>
    </row>
    <row r="642" spans="1:22" x14ac:dyDescent="0.25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9" t="s">
        <v>79</v>
      </c>
      <c r="L642" s="89">
        <f>SUM(L638:L641)</f>
        <v>128154.80214698783</v>
      </c>
      <c r="M642" s="62" t="s">
        <v>52</v>
      </c>
      <c r="N642" s="86">
        <v>0.996473406567983</v>
      </c>
      <c r="O642" s="86">
        <f>AC626+0*L616</f>
        <v>271.33333333333337</v>
      </c>
      <c r="P642" s="86">
        <f>N642*1.5*((O642-K641)*500/2)</f>
        <v>20054.027307180666</v>
      </c>
      <c r="Q642" s="179" t="s">
        <v>80</v>
      </c>
      <c r="R642" s="179"/>
      <c r="S642" s="180">
        <f>D640+H641+L642+P643</f>
        <v>235447.15802446395</v>
      </c>
      <c r="T642" s="180"/>
    </row>
    <row r="643" spans="1:22" x14ac:dyDescent="0.25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9" t="s">
        <v>79</v>
      </c>
      <c r="P643" s="89">
        <f>SUM(P638:P642)</f>
        <v>20140.869668854481</v>
      </c>
      <c r="Q643" s="179"/>
      <c r="R643" s="179"/>
      <c r="S643" s="180"/>
      <c r="T643" s="180"/>
    </row>
    <row r="644" spans="1:22" x14ac:dyDescent="0.25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</row>
    <row r="645" spans="1:22" x14ac:dyDescent="0.25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</row>
    <row r="646" spans="1:22" x14ac:dyDescent="0.25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</row>
    <row r="647" spans="1:22" ht="24.75" thickBot="1" x14ac:dyDescent="0.3">
      <c r="O647" s="131" t="s">
        <v>81</v>
      </c>
      <c r="P647" s="131"/>
      <c r="Q647" s="131">
        <f>(R633+P633+M634+S642)/AC626</f>
        <v>1388.1236070715343</v>
      </c>
      <c r="R647" s="131"/>
    </row>
    <row r="648" spans="1:22" x14ac:dyDescent="0.25">
      <c r="A648" s="181" t="s">
        <v>122</v>
      </c>
      <c r="B648" s="182"/>
    </row>
    <row r="649" spans="1:22" ht="15.75" thickBot="1" x14ac:dyDescent="0.3">
      <c r="A649" s="183"/>
      <c r="B649" s="184"/>
    </row>
    <row r="650" spans="1:22" ht="21" x14ac:dyDescent="0.35">
      <c r="A650" s="185" t="s">
        <v>14</v>
      </c>
      <c r="B650" s="185"/>
      <c r="C650" s="165"/>
      <c r="D650" s="165"/>
      <c r="E650" s="165"/>
      <c r="F650" s="165"/>
      <c r="G650" s="165"/>
      <c r="H650" s="165"/>
      <c r="I650" s="165"/>
      <c r="J650" s="165"/>
      <c r="K650" s="165"/>
      <c r="L650" s="165"/>
      <c r="M650" s="165"/>
      <c r="O650" s="166" t="s">
        <v>72</v>
      </c>
      <c r="P650" s="166"/>
      <c r="Q650" s="166"/>
      <c r="R650" s="166"/>
      <c r="S650" s="166"/>
      <c r="T650" s="166"/>
      <c r="U650" s="166"/>
      <c r="V650" s="166"/>
    </row>
    <row r="651" spans="1:22" ht="36" x14ac:dyDescent="0.25">
      <c r="A651" s="4" t="s">
        <v>15</v>
      </c>
      <c r="B651" s="4" t="s">
        <v>16</v>
      </c>
      <c r="C651" s="4" t="s">
        <v>31</v>
      </c>
      <c r="D651" s="6" t="s">
        <v>17</v>
      </c>
      <c r="E651" s="6" t="s">
        <v>18</v>
      </c>
      <c r="F651" s="6" t="s">
        <v>19</v>
      </c>
      <c r="G651" s="6" t="s">
        <v>20</v>
      </c>
      <c r="H651" s="6" t="s">
        <v>21</v>
      </c>
      <c r="I651" s="6" t="s">
        <v>22</v>
      </c>
      <c r="J651" s="6" t="s">
        <v>23</v>
      </c>
      <c r="K651" s="6" t="s">
        <v>24</v>
      </c>
      <c r="L651" s="6" t="s">
        <v>25</v>
      </c>
      <c r="M651" s="6" t="s">
        <v>26</v>
      </c>
      <c r="N651" s="8"/>
      <c r="O651" s="167" t="s">
        <v>32</v>
      </c>
      <c r="P651" s="167" t="s">
        <v>35</v>
      </c>
      <c r="Q651" s="167" t="s">
        <v>66</v>
      </c>
      <c r="R651" s="99" t="s">
        <v>67</v>
      </c>
      <c r="S651" s="99" t="s">
        <v>68</v>
      </c>
      <c r="T651" s="167" t="s">
        <v>69</v>
      </c>
      <c r="U651" s="71" t="s">
        <v>33</v>
      </c>
      <c r="V651" s="99" t="s">
        <v>70</v>
      </c>
    </row>
    <row r="652" spans="1:22" x14ac:dyDescent="0.25">
      <c r="A652" s="3" t="s">
        <v>27</v>
      </c>
      <c r="B652" s="3">
        <v>0</v>
      </c>
      <c r="C652" s="3">
        <v>0.3</v>
      </c>
      <c r="D652" s="3">
        <v>243</v>
      </c>
      <c r="E652" s="3">
        <v>1.73</v>
      </c>
      <c r="F652" s="3">
        <v>5</v>
      </c>
      <c r="G652" s="169">
        <v>12</v>
      </c>
      <c r="H652" s="3">
        <v>1820</v>
      </c>
      <c r="I652" s="169">
        <v>19645</v>
      </c>
      <c r="J652" s="3">
        <v>20</v>
      </c>
      <c r="K652" s="3">
        <v>40</v>
      </c>
      <c r="L652" s="3">
        <v>500</v>
      </c>
      <c r="M652" s="3">
        <v>1000</v>
      </c>
      <c r="O652" s="168"/>
      <c r="P652" s="168"/>
      <c r="Q652" s="168"/>
      <c r="R652" s="72" t="s">
        <v>71</v>
      </c>
      <c r="S652" s="72" t="s">
        <v>71</v>
      </c>
      <c r="T652" s="168"/>
      <c r="U652" s="73">
        <v>500</v>
      </c>
      <c r="V652" s="3">
        <v>1.5</v>
      </c>
    </row>
    <row r="653" spans="1:22" x14ac:dyDescent="0.25">
      <c r="A653" s="3" t="s">
        <v>28</v>
      </c>
      <c r="B653" s="3">
        <v>0</v>
      </c>
      <c r="C653" s="3">
        <v>0.3</v>
      </c>
      <c r="D653" s="3">
        <v>254</v>
      </c>
      <c r="E653" s="3">
        <v>1.88</v>
      </c>
      <c r="F653" s="3">
        <v>3</v>
      </c>
      <c r="G653" s="170"/>
      <c r="H653" s="3">
        <v>2720</v>
      </c>
      <c r="I653" s="170"/>
      <c r="J653" s="5"/>
      <c r="K653" s="5"/>
      <c r="L653" s="5"/>
      <c r="M653" s="5"/>
      <c r="O653" s="74">
        <v>1</v>
      </c>
      <c r="P653" s="74">
        <v>106</v>
      </c>
      <c r="Q653" s="74">
        <v>110</v>
      </c>
      <c r="R653" s="74">
        <v>6</v>
      </c>
      <c r="S653" s="74">
        <v>5</v>
      </c>
      <c r="T653" s="74">
        <f>R653*$U$5/60+S653</f>
        <v>55</v>
      </c>
      <c r="U653" s="75"/>
    </row>
    <row r="654" spans="1:22" x14ac:dyDescent="0.25">
      <c r="A654" s="3" t="s">
        <v>29</v>
      </c>
      <c r="B654" s="3">
        <v>0</v>
      </c>
      <c r="C654" s="3">
        <v>0.3</v>
      </c>
      <c r="D654" s="3">
        <v>143</v>
      </c>
      <c r="E654" s="3">
        <v>2.4300000000000002</v>
      </c>
      <c r="F654" s="3">
        <v>8</v>
      </c>
      <c r="G654" s="170"/>
      <c r="H654" s="3">
        <v>3700</v>
      </c>
      <c r="I654" s="170"/>
      <c r="J654" s="5"/>
      <c r="K654" s="140" t="s">
        <v>73</v>
      </c>
      <c r="L654" s="141">
        <v>12</v>
      </c>
      <c r="M654" s="140" t="s">
        <v>74</v>
      </c>
      <c r="N654" s="141">
        <v>19645</v>
      </c>
      <c r="O654" s="74">
        <v>2</v>
      </c>
      <c r="P654" s="74">
        <v>76</v>
      </c>
      <c r="Q654" s="74">
        <v>40</v>
      </c>
      <c r="R654" s="74">
        <v>9</v>
      </c>
      <c r="S654" s="74">
        <v>2</v>
      </c>
      <c r="T654" s="74">
        <f t="shared" ref="T654:T656" si="68">R654*$U$5/60+S654</f>
        <v>77</v>
      </c>
      <c r="U654" s="75"/>
    </row>
    <row r="655" spans="1:22" x14ac:dyDescent="0.25">
      <c r="A655" s="3" t="s">
        <v>30</v>
      </c>
      <c r="B655" s="3">
        <v>0</v>
      </c>
      <c r="C655" s="3">
        <v>0.3</v>
      </c>
      <c r="D655" s="3">
        <v>449</v>
      </c>
      <c r="E655" s="3">
        <v>2.5299999999999998</v>
      </c>
      <c r="F655" s="3">
        <v>4</v>
      </c>
      <c r="G655" s="171"/>
      <c r="H655" s="3">
        <v>4320</v>
      </c>
      <c r="I655" s="171"/>
      <c r="J655" s="5"/>
      <c r="K655" s="140"/>
      <c r="L655" s="141"/>
      <c r="M655" s="140"/>
      <c r="N655" s="141"/>
      <c r="O655" s="74">
        <v>3</v>
      </c>
      <c r="P655" s="74">
        <v>95</v>
      </c>
      <c r="Q655" s="74">
        <v>67</v>
      </c>
      <c r="R655" s="74">
        <v>5</v>
      </c>
      <c r="S655" s="74">
        <v>4</v>
      </c>
      <c r="T655" s="74">
        <f t="shared" si="68"/>
        <v>45.666666666666664</v>
      </c>
      <c r="U655" s="75"/>
    </row>
    <row r="656" spans="1:22" ht="15.75" thickBo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O656" s="74">
        <v>4</v>
      </c>
      <c r="P656" s="74">
        <v>140</v>
      </c>
      <c r="Q656" s="94">
        <v>85</v>
      </c>
      <c r="R656" s="94">
        <v>8</v>
      </c>
      <c r="S656" s="94">
        <v>3</v>
      </c>
      <c r="T656" s="74">
        <f t="shared" si="68"/>
        <v>69.666666666666671</v>
      </c>
    </row>
    <row r="657" spans="1:34" x14ac:dyDescent="0.25">
      <c r="A657" s="142" t="s">
        <v>36</v>
      </c>
      <c r="B657" s="144" t="s">
        <v>106</v>
      </c>
      <c r="C657" s="144"/>
      <c r="D657" s="144"/>
      <c r="E657" s="144"/>
      <c r="F657" s="20" t="s">
        <v>27</v>
      </c>
      <c r="G657" s="20" t="s">
        <v>28</v>
      </c>
      <c r="H657" s="20" t="s">
        <v>29</v>
      </c>
      <c r="I657" s="20" t="s">
        <v>30</v>
      </c>
    </row>
    <row r="658" spans="1:34" ht="15.75" thickBot="1" x14ac:dyDescent="0.3">
      <c r="A658" s="143"/>
      <c r="B658" s="145"/>
      <c r="C658" s="145"/>
      <c r="D658" s="145"/>
      <c r="E658" s="145"/>
      <c r="F658" s="20">
        <v>126</v>
      </c>
      <c r="G658" s="26">
        <v>91</v>
      </c>
      <c r="H658" s="26">
        <v>67</v>
      </c>
      <c r="I658" s="26">
        <v>201</v>
      </c>
    </row>
    <row r="659" spans="1:34" ht="15.75" thickBot="1" x14ac:dyDescent="0.3">
      <c r="A659" s="143"/>
      <c r="B659" s="145"/>
      <c r="C659" s="145"/>
      <c r="D659" s="145"/>
      <c r="E659" s="145"/>
      <c r="F659" s="7"/>
      <c r="G659" s="146" t="s">
        <v>27</v>
      </c>
      <c r="H659" s="147"/>
      <c r="I659" s="147"/>
      <c r="J659" s="147"/>
      <c r="K659" s="148"/>
      <c r="L659" s="149" t="s">
        <v>28</v>
      </c>
      <c r="M659" s="150"/>
      <c r="N659" s="150"/>
      <c r="O659" s="150"/>
      <c r="P659" s="151"/>
      <c r="Q659" s="152" t="s">
        <v>29</v>
      </c>
      <c r="R659" s="153"/>
      <c r="S659" s="153"/>
      <c r="T659" s="153"/>
      <c r="U659" s="154"/>
      <c r="V659" s="155" t="s">
        <v>30</v>
      </c>
      <c r="W659" s="156"/>
      <c r="X659" s="156"/>
      <c r="Y659" s="156"/>
      <c r="Z659" s="157"/>
      <c r="AA659" s="158" t="s">
        <v>42</v>
      </c>
      <c r="AB659" s="159"/>
      <c r="AC659" s="160" t="s">
        <v>44</v>
      </c>
      <c r="AD659" s="162" t="s">
        <v>47</v>
      </c>
      <c r="AE659" s="163"/>
      <c r="AF659" s="163"/>
      <c r="AG659" s="164"/>
      <c r="AH659" s="138" t="s">
        <v>62</v>
      </c>
    </row>
    <row r="660" spans="1:34" ht="36.75" x14ac:dyDescent="0.25">
      <c r="A660" s="21" t="s">
        <v>32</v>
      </c>
      <c r="B660" s="22" t="s">
        <v>37</v>
      </c>
      <c r="C660" s="23" t="s">
        <v>33</v>
      </c>
      <c r="D660" s="22" t="s">
        <v>38</v>
      </c>
      <c r="E660" s="22" t="s">
        <v>34</v>
      </c>
      <c r="F660" s="25" t="s">
        <v>35</v>
      </c>
      <c r="G660" s="27" t="s">
        <v>39</v>
      </c>
      <c r="H660" s="10" t="s">
        <v>40</v>
      </c>
      <c r="I660" s="10" t="s">
        <v>45</v>
      </c>
      <c r="J660" s="10" t="s">
        <v>46</v>
      </c>
      <c r="K660" s="28" t="s">
        <v>41</v>
      </c>
      <c r="L660" s="30" t="s">
        <v>39</v>
      </c>
      <c r="M660" s="13" t="s">
        <v>40</v>
      </c>
      <c r="N660" s="13" t="s">
        <v>45</v>
      </c>
      <c r="O660" s="13" t="s">
        <v>46</v>
      </c>
      <c r="P660" s="31" t="s">
        <v>41</v>
      </c>
      <c r="Q660" s="33" t="s">
        <v>39</v>
      </c>
      <c r="R660" s="12" t="s">
        <v>40</v>
      </c>
      <c r="S660" s="12" t="s">
        <v>45</v>
      </c>
      <c r="T660" s="12" t="s">
        <v>46</v>
      </c>
      <c r="U660" s="34" t="s">
        <v>41</v>
      </c>
      <c r="V660" s="36" t="s">
        <v>39</v>
      </c>
      <c r="W660" s="11" t="s">
        <v>40</v>
      </c>
      <c r="X660" s="11" t="s">
        <v>45</v>
      </c>
      <c r="Y660" s="11" t="s">
        <v>46</v>
      </c>
      <c r="Z660" s="37" t="s">
        <v>41</v>
      </c>
      <c r="AA660" s="39" t="s">
        <v>41</v>
      </c>
      <c r="AB660" s="40" t="s">
        <v>43</v>
      </c>
      <c r="AC660" s="161"/>
      <c r="AD660" s="43" t="s">
        <v>27</v>
      </c>
      <c r="AE660" s="1" t="s">
        <v>28</v>
      </c>
      <c r="AF660" s="1" t="s">
        <v>29</v>
      </c>
      <c r="AG660" s="1" t="s">
        <v>30</v>
      </c>
      <c r="AH660" s="139"/>
    </row>
    <row r="661" spans="1:34" x14ac:dyDescent="0.25">
      <c r="A661" s="24">
        <v>2</v>
      </c>
      <c r="B661" s="9">
        <v>9</v>
      </c>
      <c r="C661" s="9">
        <v>500</v>
      </c>
      <c r="D661" s="9">
        <v>2</v>
      </c>
      <c r="E661" s="48">
        <f>B661*C661/60+D661</f>
        <v>77</v>
      </c>
      <c r="F661" s="100">
        <v>76</v>
      </c>
      <c r="G661" s="49">
        <f>B$5*(1-AD661*C$5)</f>
        <v>0</v>
      </c>
      <c r="H661" s="50">
        <f>G661+E661</f>
        <v>77</v>
      </c>
      <c r="I661" s="15">
        <f>(H661/D$5)^E$5</f>
        <v>0.13693992990275231</v>
      </c>
      <c r="J661" s="15">
        <f>(G661/D$5)^E$5</f>
        <v>0</v>
      </c>
      <c r="K661" s="29">
        <f>1-EXP(J661-I661)</f>
        <v>0.1279773929583623</v>
      </c>
      <c r="L661" s="51">
        <f>B$6*(1-AE661*C$6)</f>
        <v>0</v>
      </c>
      <c r="M661" s="52">
        <f>L661+E661</f>
        <v>77</v>
      </c>
      <c r="N661" s="17">
        <f>(M661/D$6)^E$6</f>
        <v>0.10605109964467559</v>
      </c>
      <c r="O661" s="17">
        <f>(L661/D$6)^E$6</f>
        <v>0</v>
      </c>
      <c r="P661" s="32">
        <f>1-EXP(O661-N661)</f>
        <v>0.10062131102974814</v>
      </c>
      <c r="Q661" s="53">
        <f>B$7*(1-AF661*C$7)</f>
        <v>0</v>
      </c>
      <c r="R661" s="54">
        <f>Q661+E661</f>
        <v>77</v>
      </c>
      <c r="S661" s="16">
        <f>(R661/D$7)^E$7</f>
        <v>0.2221804751105394</v>
      </c>
      <c r="T661" s="16">
        <f>(Q661/D$7)^E$7</f>
        <v>0</v>
      </c>
      <c r="U661" s="35">
        <f>1-EXP(T661-S661)</f>
        <v>0.19922916791162293</v>
      </c>
      <c r="V661" s="55">
        <f>B$8*(1-AG661*C$8)</f>
        <v>0</v>
      </c>
      <c r="W661" s="56">
        <f>V661+E661</f>
        <v>77</v>
      </c>
      <c r="X661" s="18">
        <f>(W661/D$8)^E$8</f>
        <v>1.1551497592884551E-2</v>
      </c>
      <c r="Y661" s="18">
        <f>(V661/D$8)^E$8</f>
        <v>0</v>
      </c>
      <c r="Z661" s="38">
        <f>1-EXP(Y661-X661)</f>
        <v>1.1485035204098715E-2</v>
      </c>
      <c r="AA661" s="41">
        <f>K661*P661*U661*Z661</f>
        <v>2.9465138194053318E-5</v>
      </c>
      <c r="AB661" s="42">
        <f>1-AA661</f>
        <v>0.99997053486180598</v>
      </c>
      <c r="AC661" s="47">
        <f>(AD661*F$5+AE661*F$6+AF661*F$7+AG661*F$8)+E661</f>
        <v>77</v>
      </c>
      <c r="AD661" s="43">
        <v>0</v>
      </c>
      <c r="AE661" s="1">
        <v>0</v>
      </c>
      <c r="AF661" s="1">
        <v>0</v>
      </c>
      <c r="AG661" s="1">
        <v>0</v>
      </c>
      <c r="AH661" s="74">
        <v>40</v>
      </c>
    </row>
    <row r="662" spans="1:34" x14ac:dyDescent="0.25">
      <c r="A662" s="76">
        <v>4</v>
      </c>
      <c r="B662" s="58">
        <v>8</v>
      </c>
      <c r="C662" s="9">
        <v>500</v>
      </c>
      <c r="D662" s="58">
        <v>3</v>
      </c>
      <c r="E662" s="48">
        <f t="shared" ref="E662:E664" si="69">B662*C662/60+D662</f>
        <v>69.666666666666671</v>
      </c>
      <c r="F662" s="100">
        <v>140</v>
      </c>
      <c r="G662" s="49">
        <f>H661*(1-AD662*C$5)</f>
        <v>77</v>
      </c>
      <c r="H662" s="50">
        <f>G662+E662</f>
        <v>146.66666666666669</v>
      </c>
      <c r="I662" s="15">
        <f>(H662/D$5)^E$5</f>
        <v>0.41749810283193062</v>
      </c>
      <c r="J662" s="15">
        <f>(G662/D$5)^E$5</f>
        <v>0.13693992990275231</v>
      </c>
      <c r="K662" s="29">
        <f>1-EXP(J662-I662)</f>
        <v>0.24463799885610593</v>
      </c>
      <c r="L662" s="51">
        <f>M661*(1-AE662*C$6)</f>
        <v>77</v>
      </c>
      <c r="M662" s="52">
        <f>L662+E662</f>
        <v>146.66666666666669</v>
      </c>
      <c r="N662" s="17">
        <f>(M662/D$6)^E$6</f>
        <v>0.35613584348340649</v>
      </c>
      <c r="O662" s="17">
        <f>(L662/D$6)^E$6</f>
        <v>0.10605109964467559</v>
      </c>
      <c r="P662" s="32">
        <f>1-EXP(O662-N662)</f>
        <v>0.2212652127001522</v>
      </c>
      <c r="Q662" s="53">
        <f>R661*(1-AF662*C$7)</f>
        <v>53.9</v>
      </c>
      <c r="R662" s="54">
        <f>Q662+E662</f>
        <v>123.56666666666666</v>
      </c>
      <c r="S662" s="16">
        <f>(R662/D$7)^E$7</f>
        <v>0.70121898217618051</v>
      </c>
      <c r="T662" s="16">
        <f>(Q662/D$7)^E$7</f>
        <v>9.3388656656360772E-2</v>
      </c>
      <c r="U662" s="35">
        <f>1-EXP(T662-S662)</f>
        <v>0.45546895657697373</v>
      </c>
      <c r="V662" s="55">
        <f>W661*(1-AG662*C$8)</f>
        <v>77</v>
      </c>
      <c r="W662" s="56">
        <f>V662+E662</f>
        <v>146.66666666666669</v>
      </c>
      <c r="X662" s="18">
        <f>(W662/D$8)^E$8</f>
        <v>5.897056032024859E-2</v>
      </c>
      <c r="Y662" s="18">
        <f>(V662/D$8)^E$8</f>
        <v>1.1551497592884551E-2</v>
      </c>
      <c r="Z662" s="38">
        <f>1-EXP(Y662-X662)</f>
        <v>4.631234111296112E-2</v>
      </c>
      <c r="AA662" s="41">
        <f>K662*P662*U662*Z662</f>
        <v>1.1418066617924669E-3</v>
      </c>
      <c r="AB662" s="42">
        <f>1-AA662</f>
        <v>0.99885819333820758</v>
      </c>
      <c r="AC662" s="47">
        <f>AF662*F$7+E662+AC661</f>
        <v>154.66666666666669</v>
      </c>
      <c r="AD662" s="43">
        <v>0</v>
      </c>
      <c r="AE662" s="1">
        <v>0</v>
      </c>
      <c r="AF662" s="1">
        <v>1</v>
      </c>
      <c r="AG662" s="1">
        <v>0</v>
      </c>
      <c r="AH662" s="74">
        <v>85</v>
      </c>
    </row>
    <row r="663" spans="1:34" x14ac:dyDescent="0.25">
      <c r="A663" s="24">
        <v>3</v>
      </c>
      <c r="B663" s="9">
        <v>5</v>
      </c>
      <c r="C663" s="58">
        <v>500</v>
      </c>
      <c r="D663" s="58">
        <v>4</v>
      </c>
      <c r="E663" s="48">
        <f t="shared" si="69"/>
        <v>45.666666666666664</v>
      </c>
      <c r="F663" s="100">
        <v>95</v>
      </c>
      <c r="G663" s="68">
        <f>H662*(1-AD663*C$5)</f>
        <v>102.66666666666667</v>
      </c>
      <c r="H663" s="69">
        <f>G663+E663</f>
        <v>148.33333333333334</v>
      </c>
      <c r="I663" s="70">
        <f>(H663/D$5)^E$5</f>
        <v>0.42573974432201439</v>
      </c>
      <c r="J663" s="70">
        <f>(G663/D$5)^E$5</f>
        <v>0.22525483181366224</v>
      </c>
      <c r="K663" s="29">
        <f>1-EXP(J663-I663)</f>
        <v>0.18166616346248299</v>
      </c>
      <c r="L663" s="51">
        <f>M662*(1-AE663*C$6)</f>
        <v>102.66666666666667</v>
      </c>
      <c r="M663" s="52">
        <f>L663+E663</f>
        <v>148.33333333333334</v>
      </c>
      <c r="N663" s="17">
        <f>(M663/D$6)^E$6</f>
        <v>0.36378222468595994</v>
      </c>
      <c r="O663" s="17">
        <f>(L663/D$6)^E$6</f>
        <v>0.18213776408892768</v>
      </c>
      <c r="P663" s="32">
        <f>1-EXP(O663-N663)</f>
        <v>0.16610222876808511</v>
      </c>
      <c r="Q663" s="53">
        <f>R662*(1-AF663*C$7)</f>
        <v>86.496666666666655</v>
      </c>
      <c r="R663" s="54">
        <f>Q663+E663</f>
        <v>132.16333333333333</v>
      </c>
      <c r="S663" s="16">
        <f>(R663/D$7)^E$7</f>
        <v>0.82572059928227703</v>
      </c>
      <c r="T663" s="16">
        <f>(Q663/D$7)^E$7</f>
        <v>0.29474191525962606</v>
      </c>
      <c r="U663" s="35">
        <f>1-EXP(T663-S663)</f>
        <v>0.41197080680354259</v>
      </c>
      <c r="V663" s="55">
        <f>W662*(1-AG663*C$8)</f>
        <v>146.66666666666669</v>
      </c>
      <c r="W663" s="56">
        <f>V663+E663</f>
        <v>192.33333333333334</v>
      </c>
      <c r="X663" s="18">
        <f>(W663/D$8)^E$8</f>
        <v>0.11707786390726455</v>
      </c>
      <c r="Y663" s="18">
        <f>(V663/D$8)^E$8</f>
        <v>5.897056032024859E-2</v>
      </c>
      <c r="Z663" s="38">
        <f>1-EXP(Y663-X663)</f>
        <v>5.6451304155022197E-2</v>
      </c>
      <c r="AA663" s="41">
        <f>K663*P663*U663*Z663</f>
        <v>7.0176212658555062E-4</v>
      </c>
      <c r="AB663" s="42">
        <f>1-AA663</f>
        <v>0.99929823787341443</v>
      </c>
      <c r="AC663" s="47">
        <f>(AF663*F$7)+E663+AC662</f>
        <v>208.33333333333334</v>
      </c>
      <c r="AD663" s="77">
        <v>1</v>
      </c>
      <c r="AE663" s="78">
        <v>1</v>
      </c>
      <c r="AF663" s="78">
        <v>1</v>
      </c>
      <c r="AG663" s="78">
        <v>0</v>
      </c>
      <c r="AH663" s="74">
        <v>67</v>
      </c>
    </row>
    <row r="664" spans="1:34" ht="15.75" thickBot="1" x14ac:dyDescent="0.3">
      <c r="A664" s="57">
        <v>1</v>
      </c>
      <c r="B664" s="58">
        <v>6</v>
      </c>
      <c r="C664" s="58">
        <v>500</v>
      </c>
      <c r="D664" s="9">
        <v>5</v>
      </c>
      <c r="E664" s="48">
        <f t="shared" si="69"/>
        <v>55</v>
      </c>
      <c r="F664" s="100">
        <v>106</v>
      </c>
      <c r="G664" s="68">
        <f>H663*(1-AD664*C$5)</f>
        <v>103.83333333333333</v>
      </c>
      <c r="H664" s="69">
        <f>G664+E664</f>
        <v>158.83333333333331</v>
      </c>
      <c r="I664" s="70">
        <f>(H664/D$5)^E$5</f>
        <v>0.47921477720274397</v>
      </c>
      <c r="J664" s="70">
        <f>(G664/D$5)^E$5</f>
        <v>0.22970148571490079</v>
      </c>
      <c r="K664" s="29">
        <f>1-EXP(J664-I664)</f>
        <v>0.22082007570005269</v>
      </c>
      <c r="L664" s="51">
        <f>M663*(1-AE664*C$6)</f>
        <v>103.83333333333333</v>
      </c>
      <c r="M664" s="52">
        <f>L664+E664</f>
        <v>158.83333333333331</v>
      </c>
      <c r="N664" s="17">
        <f>(M664/D$6)^E$6</f>
        <v>0.41369751790718035</v>
      </c>
      <c r="O664" s="17">
        <f>(L664/D$6)^E$6</f>
        <v>0.1860483358583474</v>
      </c>
      <c r="P664" s="32">
        <f>1-EXP(O664-N664)</f>
        <v>0.203596396486313</v>
      </c>
      <c r="Q664" s="53">
        <f>R663*(1-AF664*C$7)</f>
        <v>92.514333333333326</v>
      </c>
      <c r="R664" s="54">
        <f>Q664+E664</f>
        <v>147.51433333333333</v>
      </c>
      <c r="S664" s="16">
        <f>(R664/D$7)^E$7</f>
        <v>1.0784514177830493</v>
      </c>
      <c r="T664" s="16">
        <f>(Q664/D$7)^E$7</f>
        <v>0.34707342083993525</v>
      </c>
      <c r="U664" s="35">
        <f>1-EXP(T664-S664)</f>
        <v>0.51875462169248743</v>
      </c>
      <c r="V664" s="55">
        <f>W663*(1-AG664*C$8)</f>
        <v>134.63333333333333</v>
      </c>
      <c r="W664" s="56">
        <f>V664+E664</f>
        <v>189.63333333333333</v>
      </c>
      <c r="X664" s="18">
        <f>(W664/D$8)^E$8</f>
        <v>0.11296421670190258</v>
      </c>
      <c r="Y664" s="18">
        <f>(V664/D$8)^E$8</f>
        <v>4.7486791978556986E-2</v>
      </c>
      <c r="Z664" s="38">
        <f>1-EXP(Y664-X664)</f>
        <v>6.337980901910989E-2</v>
      </c>
      <c r="AA664" s="41">
        <f>K664*P664*U664*Z664</f>
        <v>1.4781603431237773E-3</v>
      </c>
      <c r="AB664" s="42">
        <f>1-AA664</f>
        <v>0.99852183965687624</v>
      </c>
      <c r="AC664" s="47">
        <f>(AF664*F$7)+E664+AC663</f>
        <v>271.33333333333337</v>
      </c>
      <c r="AD664" s="80">
        <v>1</v>
      </c>
      <c r="AE664" s="45">
        <v>1</v>
      </c>
      <c r="AF664" s="81">
        <v>1</v>
      </c>
      <c r="AG664" s="45">
        <v>1</v>
      </c>
      <c r="AH664" s="94">
        <v>110</v>
      </c>
    </row>
    <row r="665" spans="1:34" ht="18.75" x14ac:dyDescent="0.3">
      <c r="A665" s="132" t="s">
        <v>53</v>
      </c>
      <c r="B665" s="132"/>
      <c r="C665" s="132"/>
      <c r="D665" s="132"/>
      <c r="E665" s="132"/>
      <c r="F665" s="132"/>
      <c r="G665" s="132"/>
      <c r="H665" s="132"/>
      <c r="I665" s="132"/>
      <c r="J665" s="132"/>
      <c r="AG665" s="46"/>
    </row>
    <row r="666" spans="1:34" ht="15.75" x14ac:dyDescent="0.25">
      <c r="A666" s="19" t="s">
        <v>48</v>
      </c>
      <c r="B666" s="60" t="s">
        <v>49</v>
      </c>
      <c r="C666" s="61" t="s">
        <v>50</v>
      </c>
      <c r="D666" s="19" t="s">
        <v>82</v>
      </c>
      <c r="E666" s="60" t="s">
        <v>57</v>
      </c>
      <c r="F666" s="61" t="s">
        <v>50</v>
      </c>
      <c r="G666" s="19" t="s">
        <v>58</v>
      </c>
      <c r="H666" s="60" t="s">
        <v>61</v>
      </c>
      <c r="I666" s="61" t="s">
        <v>50</v>
      </c>
      <c r="J666" s="19" t="s">
        <v>54</v>
      </c>
      <c r="K666" s="83" t="s">
        <v>84</v>
      </c>
      <c r="L666" s="61" t="s">
        <v>50</v>
      </c>
      <c r="M666" s="61" t="s">
        <v>85</v>
      </c>
      <c r="O666" s="174" t="s">
        <v>64</v>
      </c>
      <c r="P666" s="174"/>
      <c r="Q666" s="175" t="s">
        <v>109</v>
      </c>
      <c r="R666" s="175"/>
    </row>
    <row r="667" spans="1:34" ht="24.75" x14ac:dyDescent="0.25">
      <c r="A667" s="61" t="s">
        <v>51</v>
      </c>
      <c r="B667" s="1">
        <f>AA661</f>
        <v>2.9465138194053318E-5</v>
      </c>
      <c r="C667" s="59">
        <f>MAX(AC661+1*L654-F661,0)</f>
        <v>13</v>
      </c>
      <c r="D667" s="62" t="s">
        <v>55</v>
      </c>
      <c r="E667" s="1">
        <f>AA661*AA662</f>
        <v>3.364349108060574E-8</v>
      </c>
      <c r="F667" s="1">
        <f>MAX(AC662+2*L654-F662,0)</f>
        <v>38.666666666666686</v>
      </c>
      <c r="G667" s="62" t="s">
        <v>59</v>
      </c>
      <c r="H667" s="1">
        <f>AA661*AA662*AA663</f>
        <v>2.3609727846487887E-11</v>
      </c>
      <c r="I667" s="1">
        <f>AC663+3*L654-F663</f>
        <v>149.33333333333334</v>
      </c>
      <c r="J667" s="62" t="s">
        <v>83</v>
      </c>
      <c r="K667" s="1">
        <f>AA661*AA662*AA663*AA664</f>
        <v>3.4898963414623536E-14</v>
      </c>
      <c r="L667" s="1">
        <f>AC664+4*L654-F664</f>
        <v>213.33333333333337</v>
      </c>
      <c r="M667" s="1">
        <f>B667*C667*AH661+E667*F667*AH662+H667*I667*AH663+K667*L667*AH664</f>
        <v>1.5432683843752003E-2</v>
      </c>
      <c r="O667" s="1" t="s">
        <v>27</v>
      </c>
      <c r="P667" s="1">
        <f>2*H652</f>
        <v>3640</v>
      </c>
      <c r="Q667" s="1">
        <f>(K661*(1-P661)*(1-U661)*(1-Z661))+(P661*(1-K661)*(1-U661)*(1-Z661))+(U661*(1-K661)*(1-P661)*(1-Z661))+(Z661*(1-K661)*(1-P661)*(1-U661))</f>
        <v>0.32223571239848364</v>
      </c>
      <c r="R667" s="1">
        <f>Q667*(L$7*(J$5*K$5+L$5)+I$5)</f>
        <v>11357.197683484555</v>
      </c>
    </row>
    <row r="668" spans="1:34" ht="24.75" x14ac:dyDescent="0.25">
      <c r="A668" s="62" t="s">
        <v>52</v>
      </c>
      <c r="B668" s="1">
        <f>AB661</f>
        <v>0.99997053486180598</v>
      </c>
      <c r="C668" s="59">
        <f>MAX(AC661-F661,0)</f>
        <v>1</v>
      </c>
      <c r="D668" s="62" t="s">
        <v>56</v>
      </c>
      <c r="E668" s="1">
        <f>AA661*AB662+AA662*AB661</f>
        <v>1.1712045130043592E-3</v>
      </c>
      <c r="F668" s="1">
        <f>MAX(AC662+1*L654-F662,0)</f>
        <v>26.666666666666686</v>
      </c>
      <c r="G668" s="62" t="s">
        <v>60</v>
      </c>
      <c r="H668" s="1">
        <f>AA661*AA662*AB663+AA662*AA663*AB661+AA661*AA663*AB662</f>
        <v>8.5552685106529237E-7</v>
      </c>
      <c r="I668" s="1">
        <f>AC663+2*L654-F663</f>
        <v>137.33333333333334</v>
      </c>
      <c r="J668" s="62" t="s">
        <v>59</v>
      </c>
      <c r="K668">
        <f>AB661*AA662*AA663*AA664+AB662*AA661*AA663*AA664*+AB663*AA661*AA662*AA664+AB664*AA661*AA662*AA663</f>
        <v>1.2079553290543414E-9</v>
      </c>
      <c r="L668" s="1">
        <f>AC664+3*L654-F664</f>
        <v>201.33333333333337</v>
      </c>
      <c r="M668" s="1">
        <f>B668*C668*AH661+E668*F668*AH662+H668*I668*AH663+K668*L668*AH664</f>
        <v>42.661450363865072</v>
      </c>
      <c r="O668" s="1" t="s">
        <v>28</v>
      </c>
      <c r="P668" s="1">
        <f>2*H653</f>
        <v>5440</v>
      </c>
      <c r="Q668" s="1">
        <f t="shared" ref="Q668:Q670" si="70">(K662*(1-P662)*(1-U662)*(1-Z662))+(P662*(1-K662)*(1-U662)*(1-Z662))+(U662*(1-K662)*(1-P662)*(1-Z662))+(Z662*(1-K662)*(1-P662)*(1-U662))</f>
        <v>0.45607395847716847</v>
      </c>
      <c r="R668" s="1">
        <f t="shared" ref="R668:R670" si="71">Q668*(L$7*(J$5*K$5+L$5)+I$5)</f>
        <v>16074.326666527802</v>
      </c>
    </row>
    <row r="669" spans="1:34" ht="24.75" x14ac:dyDescent="0.25">
      <c r="A669" s="1"/>
      <c r="B669" s="1"/>
      <c r="C669" s="1"/>
      <c r="D669" s="62" t="s">
        <v>52</v>
      </c>
      <c r="E669" s="1">
        <f>AB661*AB662</f>
        <v>0.99882876184350466</v>
      </c>
      <c r="F669" s="59">
        <f>MAX(AC662-F662,0)</f>
        <v>14.666666666666686</v>
      </c>
      <c r="G669" s="62" t="s">
        <v>56</v>
      </c>
      <c r="H669" s="1">
        <f>AA661*AB662*AB663+AA662*AB661*AB663*+AA663*AB661*AB662</f>
        <v>3.0210593767426117E-5</v>
      </c>
      <c r="I669" s="1">
        <f>AC663+1*L654-F663</f>
        <v>125.33333333333334</v>
      </c>
      <c r="J669" s="62" t="s">
        <v>60</v>
      </c>
      <c r="K669" s="1">
        <f>AA661*AA662*AB663*AB664 + AA661*AA663*AB662*AB664 + AA661*AA664*AB662*AB663 + AA662*AA663*AB661*AB664 + AA662*AA664*AB661*AB663 + AA663*AA664*AB661*AB662</f>
        <v>3.6203774003614834E-6</v>
      </c>
      <c r="L669" s="1">
        <f>AC664+2*L654-F664</f>
        <v>189.33333333333337</v>
      </c>
      <c r="M669" s="1">
        <f>B669*C669*AH661+E669*F669*AH662+H669*I669*AH663+K669*L669*AH664</f>
        <v>1245.5356119176254</v>
      </c>
      <c r="O669" s="1" t="s">
        <v>29</v>
      </c>
      <c r="P669" s="1">
        <f>3*(F654*(J652*K652+L652)+H654)</f>
        <v>42300</v>
      </c>
      <c r="Q669" s="1">
        <f t="shared" si="70"/>
        <v>0.44738329387962494</v>
      </c>
      <c r="R669" s="1">
        <f t="shared" si="71"/>
        <v>15768.024192787381</v>
      </c>
    </row>
    <row r="670" spans="1:34" ht="24.75" x14ac:dyDescent="0.25">
      <c r="A670" s="1"/>
      <c r="B670" s="1"/>
      <c r="C670" s="1"/>
      <c r="D670" s="1"/>
      <c r="E670" s="1"/>
      <c r="F670" s="1"/>
      <c r="G670" s="62" t="s">
        <v>52</v>
      </c>
      <c r="H670" s="1">
        <f>AB661*AB662*AB663</f>
        <v>0.99812782164749858</v>
      </c>
      <c r="I670" s="63">
        <f>AC663-F663</f>
        <v>113.33333333333334</v>
      </c>
      <c r="J670" s="62" t="s">
        <v>56</v>
      </c>
      <c r="K670" s="1">
        <f>AA661*AB662*AB663*AB664+AA662*AB661*AB663*AB664+AA663*AB661*AB662*AB664+AA664*AB661*AB662*AB663</f>
        <v>3.3439496502134518E-3</v>
      </c>
      <c r="L670" s="1">
        <f>AC664+1*L654-F664</f>
        <v>177.33333333333337</v>
      </c>
      <c r="M670" s="1">
        <f>B670*C670*AH661+E670*F670*AH662+H670*I670*AH663+K670*L670*AH664</f>
        <v>7644.3465702201702</v>
      </c>
      <c r="O670" s="1" t="s">
        <v>30</v>
      </c>
      <c r="P670" s="1">
        <f>1*H655</f>
        <v>4320</v>
      </c>
      <c r="Q670" s="1">
        <f t="shared" si="70"/>
        <v>0.4712076152580929</v>
      </c>
      <c r="R670" s="1">
        <f t="shared" si="71"/>
        <v>16607.712399771484</v>
      </c>
    </row>
    <row r="671" spans="1:34" ht="30" x14ac:dyDescent="0.25">
      <c r="I671" s="84"/>
      <c r="J671" s="62" t="s">
        <v>52</v>
      </c>
      <c r="K671" s="85">
        <f>AB661*AB662*AB663*AB664</f>
        <v>0.9966524286841707</v>
      </c>
      <c r="L671" s="1">
        <f>AC664+0*L654-F664</f>
        <v>165.33333333333337</v>
      </c>
      <c r="M671" s="1">
        <f>B671*C671*AH661+E671*F671*AH662+H671*I671*AH663+K671*L671*AH664</f>
        <v>18125.785503002789</v>
      </c>
      <c r="O671" s="64" t="s">
        <v>65</v>
      </c>
      <c r="P671" s="65">
        <f>SUM(P667:P670)</f>
        <v>55700</v>
      </c>
      <c r="Q671" s="96" t="s">
        <v>108</v>
      </c>
      <c r="R671" s="97">
        <f>SUM(R667:R670)</f>
        <v>59807.260942571229</v>
      </c>
    </row>
    <row r="672" spans="1:34" x14ac:dyDescent="0.25">
      <c r="L672" s="176" t="s">
        <v>63</v>
      </c>
      <c r="M672" s="177">
        <f>SUM(M667:M671)</f>
        <v>27058.344568188295</v>
      </c>
    </row>
    <row r="673" spans="1:22" x14ac:dyDescent="0.25">
      <c r="L673" s="176"/>
      <c r="M673" s="177"/>
    </row>
    <row r="674" spans="1:22" x14ac:dyDescent="0.25">
      <c r="A674" s="178" t="s">
        <v>90</v>
      </c>
      <c r="B674" s="178"/>
      <c r="C674" s="178"/>
      <c r="D674" s="178"/>
      <c r="E674" s="178"/>
      <c r="F674" s="178"/>
      <c r="G674" s="178"/>
      <c r="H674" s="178"/>
      <c r="I674" s="178"/>
      <c r="J674" s="178"/>
      <c r="K674" s="178"/>
      <c r="L674" s="178"/>
      <c r="M674" s="178"/>
      <c r="N674" s="178"/>
    </row>
    <row r="675" spans="1:22" ht="15.75" x14ac:dyDescent="0.25">
      <c r="A675" s="87" t="s">
        <v>75</v>
      </c>
      <c r="B675" s="62" t="s">
        <v>49</v>
      </c>
      <c r="C675" s="90" t="s">
        <v>87</v>
      </c>
      <c r="D675" s="62" t="s">
        <v>88</v>
      </c>
      <c r="E675" s="87" t="s">
        <v>86</v>
      </c>
      <c r="F675" s="62" t="s">
        <v>57</v>
      </c>
      <c r="G675" s="90" t="s">
        <v>103</v>
      </c>
      <c r="H675" s="62" t="s">
        <v>88</v>
      </c>
      <c r="I675" s="87" t="s">
        <v>77</v>
      </c>
      <c r="J675" s="62" t="s">
        <v>61</v>
      </c>
      <c r="K675" s="90" t="s">
        <v>78</v>
      </c>
      <c r="L675" s="62" t="s">
        <v>88</v>
      </c>
      <c r="M675" s="87" t="s">
        <v>76</v>
      </c>
      <c r="N675" s="62" t="s">
        <v>84</v>
      </c>
      <c r="O675" s="90" t="s">
        <v>102</v>
      </c>
      <c r="P675" s="62" t="s">
        <v>88</v>
      </c>
    </row>
    <row r="676" spans="1:22" ht="24.75" x14ac:dyDescent="0.25">
      <c r="A676" s="62" t="s">
        <v>51</v>
      </c>
      <c r="B676" s="86">
        <v>2.9465138194053318E-5</v>
      </c>
      <c r="C676" s="86">
        <f>AC661+1*L654</f>
        <v>89</v>
      </c>
      <c r="D676" s="86">
        <f>MAX(B676*1.5*((C676-F661)*500/2),0)</f>
        <v>0.14364254869600993</v>
      </c>
      <c r="E676" s="62" t="s">
        <v>55</v>
      </c>
      <c r="F676" s="86">
        <v>3.364349108060574E-8</v>
      </c>
      <c r="G676" s="86">
        <f>AC662+2*L654</f>
        <v>178.66666666666669</v>
      </c>
      <c r="H676" s="86">
        <f>F676*1.5*((G676-F662)*500/2+(G676-F663)*500+(G676-F664)*500)</f>
        <v>4.432529949869808E-3</v>
      </c>
      <c r="I676" s="62" t="s">
        <v>59</v>
      </c>
      <c r="J676" s="86">
        <v>2.3609727846487887E-11</v>
      </c>
      <c r="K676" s="86">
        <f>AC663+3*L654</f>
        <v>244.33333333333334</v>
      </c>
      <c r="L676" s="86">
        <f>J676*1.5*((K676-G676)*500/2+(K676-G676)*500)</f>
        <v>1.7441686446592925E-6</v>
      </c>
      <c r="M676" s="62" t="s">
        <v>83</v>
      </c>
      <c r="N676" s="86">
        <v>3.4898963414623536E-14</v>
      </c>
      <c r="O676" s="86">
        <f>AC664+4*L654</f>
        <v>319.33333333333337</v>
      </c>
      <c r="P676" s="86">
        <f>N676*1.5*((O676-K676)*500/2)</f>
        <v>9.8153334603628725E-10</v>
      </c>
    </row>
    <row r="677" spans="1:22" ht="24.75" x14ac:dyDescent="0.25">
      <c r="A677" s="62" t="s">
        <v>52</v>
      </c>
      <c r="B677" s="86">
        <v>0.99997053486180598</v>
      </c>
      <c r="C677" s="88">
        <f>AC661</f>
        <v>77</v>
      </c>
      <c r="D677" s="86">
        <f>MAX(B677*1.5*((C677-F661)*500/2),0)</f>
        <v>374.98895057317725</v>
      </c>
      <c r="E677" s="62" t="s">
        <v>56</v>
      </c>
      <c r="F677" s="86">
        <v>1.1712045130043592E-3</v>
      </c>
      <c r="G677" s="86">
        <f>AC662+1*L654</f>
        <v>166.66666666666669</v>
      </c>
      <c r="H677" s="86">
        <f>F677*1.5*((G677-F662)*500/2+(G677-F663)*500+(G677-F664)*500)</f>
        <v>127.9540930457263</v>
      </c>
      <c r="I677" s="62" t="s">
        <v>60</v>
      </c>
      <c r="J677" s="86">
        <v>8.5552685106529237E-7</v>
      </c>
      <c r="K677" s="86">
        <f>AC663+2*L654</f>
        <v>232.33333333333334</v>
      </c>
      <c r="L677" s="86">
        <f>J677*1.5*((K677-G677)*500/2+(K677-G677)*500)</f>
        <v>6.3202046122448466E-2</v>
      </c>
      <c r="M677" s="62" t="s">
        <v>59</v>
      </c>
      <c r="N677" s="86">
        <v>1.2079553290543414E-9</v>
      </c>
      <c r="O677" s="86">
        <f>AC664+3*L654</f>
        <v>307.33333333333337</v>
      </c>
      <c r="P677" s="86">
        <f>N677*1.5*((O677-K677)*500/2)</f>
        <v>3.397374362965336E-5</v>
      </c>
    </row>
    <row r="678" spans="1:22" x14ac:dyDescent="0.25">
      <c r="A678" s="86"/>
      <c r="B678" s="86"/>
      <c r="C678" s="89" t="s">
        <v>89</v>
      </c>
      <c r="D678" s="89">
        <f>SUM(D676:D677)</f>
        <v>375.13259312187324</v>
      </c>
      <c r="E678" s="62" t="s">
        <v>52</v>
      </c>
      <c r="F678" s="86">
        <v>0.99882876184350466</v>
      </c>
      <c r="G678" s="86">
        <f>AC662+0*L654</f>
        <v>154.66666666666669</v>
      </c>
      <c r="H678" s="86">
        <f>F678*1.5*((G678-F662)*500/2+(G678-F663)*500+(G678-F664)*500)</f>
        <v>86648.395089924059</v>
      </c>
      <c r="I678" s="62" t="s">
        <v>56</v>
      </c>
      <c r="J678" s="86">
        <v>3.0210593767426117E-5</v>
      </c>
      <c r="K678" s="86">
        <f>AC663+1*L654</f>
        <v>220.33333333333334</v>
      </c>
      <c r="L678" s="86">
        <f>J678*1.5*((K678-G678)*500/2+(K678-G678)*500)</f>
        <v>2.2318076145686039</v>
      </c>
      <c r="M678" s="62" t="s">
        <v>60</v>
      </c>
      <c r="N678" s="86">
        <v>3.6203774003614834E-6</v>
      </c>
      <c r="O678" s="86">
        <f>AC664+2*L654</f>
        <v>295.33333333333337</v>
      </c>
      <c r="P678" s="86">
        <f>N678*1.5*((O678-K678)*500/2)</f>
        <v>0.10182311438516677</v>
      </c>
    </row>
    <row r="679" spans="1:22" x14ac:dyDescent="0.25">
      <c r="A679" s="86"/>
      <c r="B679" s="86"/>
      <c r="C679" s="86"/>
      <c r="D679" s="86"/>
      <c r="E679" s="86"/>
      <c r="F679" s="86"/>
      <c r="G679" s="89" t="s">
        <v>79</v>
      </c>
      <c r="H679" s="89">
        <f>SUM(H676:H678)</f>
        <v>86776.353615499742</v>
      </c>
      <c r="I679" s="62" t="s">
        <v>52</v>
      </c>
      <c r="J679" s="86">
        <v>0.99812782164749858</v>
      </c>
      <c r="K679" s="86">
        <f>AC663+0*L654</f>
        <v>208.33333333333334</v>
      </c>
      <c r="L679" s="86">
        <f>J679*1.5*((K679-F678)*500/2+(K679-G678)*500)</f>
        <v>117779.52134642599</v>
      </c>
      <c r="M679" s="62" t="s">
        <v>56</v>
      </c>
      <c r="N679" s="86">
        <v>3.3439496502134518E-3</v>
      </c>
      <c r="O679" s="86">
        <f>AC664+1*L654</f>
        <v>283.33333333333337</v>
      </c>
      <c r="P679" s="86">
        <f>N679*1.5*((O679-K679)*500/2)</f>
        <v>94.048583912253378</v>
      </c>
    </row>
    <row r="680" spans="1:22" x14ac:dyDescent="0.25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9" t="s">
        <v>79</v>
      </c>
      <c r="L680" s="89">
        <f>SUM(L676:L679)</f>
        <v>117781.81635783084</v>
      </c>
      <c r="M680" s="62" t="s">
        <v>52</v>
      </c>
      <c r="N680" s="86">
        <v>0.9966524286841707</v>
      </c>
      <c r="O680" s="86">
        <f>AC664+0*L654</f>
        <v>271.33333333333337</v>
      </c>
      <c r="P680" s="86">
        <f>N680*1.5*((O680-K679)*500/2)</f>
        <v>23545.913627663544</v>
      </c>
      <c r="Q680" s="179" t="s">
        <v>80</v>
      </c>
      <c r="R680" s="179"/>
      <c r="S680" s="180">
        <f>D678+H679+L680+P681</f>
        <v>228573.36663511739</v>
      </c>
      <c r="T680" s="180"/>
    </row>
    <row r="681" spans="1:22" x14ac:dyDescent="0.25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9" t="s">
        <v>79</v>
      </c>
      <c r="P681" s="89">
        <f>SUM(P676:P680)</f>
        <v>23640.064068664906</v>
      </c>
      <c r="Q681" s="179"/>
      <c r="R681" s="179"/>
      <c r="S681" s="180"/>
      <c r="T681" s="180"/>
    </row>
    <row r="682" spans="1:22" x14ac:dyDescent="0.25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</row>
    <row r="683" spans="1:22" x14ac:dyDescent="0.25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</row>
    <row r="684" spans="1:22" x14ac:dyDescent="0.25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</row>
    <row r="685" spans="1:22" ht="24.75" thickBot="1" x14ac:dyDescent="0.3">
      <c r="O685" s="131" t="s">
        <v>81</v>
      </c>
      <c r="P685" s="131"/>
      <c r="Q685" s="131">
        <f>(R671+P671+M672+S680)/AC664</f>
        <v>1367.8340496776789</v>
      </c>
      <c r="R685" s="131"/>
    </row>
    <row r="686" spans="1:22" x14ac:dyDescent="0.25">
      <c r="A686" s="181" t="s">
        <v>123</v>
      </c>
      <c r="B686" s="182"/>
    </row>
    <row r="687" spans="1:22" ht="15.75" thickBot="1" x14ac:dyDescent="0.3">
      <c r="A687" s="183"/>
      <c r="B687" s="184"/>
    </row>
    <row r="688" spans="1:22" ht="21" x14ac:dyDescent="0.35">
      <c r="A688" s="185" t="s">
        <v>14</v>
      </c>
      <c r="B688" s="185"/>
      <c r="C688" s="165"/>
      <c r="D688" s="165"/>
      <c r="E688" s="165"/>
      <c r="F688" s="165"/>
      <c r="G688" s="165"/>
      <c r="H688" s="165"/>
      <c r="I688" s="165"/>
      <c r="J688" s="165"/>
      <c r="K688" s="165"/>
      <c r="L688" s="165"/>
      <c r="M688" s="165"/>
      <c r="O688" s="166" t="s">
        <v>72</v>
      </c>
      <c r="P688" s="166"/>
      <c r="Q688" s="166"/>
      <c r="R688" s="166"/>
      <c r="S688" s="166"/>
      <c r="T688" s="166"/>
      <c r="U688" s="166"/>
      <c r="V688" s="166"/>
    </row>
    <row r="689" spans="1:34" ht="36" x14ac:dyDescent="0.25">
      <c r="A689" s="4" t="s">
        <v>15</v>
      </c>
      <c r="B689" s="4" t="s">
        <v>16</v>
      </c>
      <c r="C689" s="4" t="s">
        <v>31</v>
      </c>
      <c r="D689" s="6" t="s">
        <v>17</v>
      </c>
      <c r="E689" s="6" t="s">
        <v>18</v>
      </c>
      <c r="F689" s="6" t="s">
        <v>19</v>
      </c>
      <c r="G689" s="6" t="s">
        <v>20</v>
      </c>
      <c r="H689" s="6" t="s">
        <v>21</v>
      </c>
      <c r="I689" s="6" t="s">
        <v>22</v>
      </c>
      <c r="J689" s="6" t="s">
        <v>23</v>
      </c>
      <c r="K689" s="6" t="s">
        <v>24</v>
      </c>
      <c r="L689" s="6" t="s">
        <v>25</v>
      </c>
      <c r="M689" s="6" t="s">
        <v>26</v>
      </c>
      <c r="N689" s="8"/>
      <c r="O689" s="167" t="s">
        <v>32</v>
      </c>
      <c r="P689" s="167" t="s">
        <v>35</v>
      </c>
      <c r="Q689" s="167" t="s">
        <v>66</v>
      </c>
      <c r="R689" s="99" t="s">
        <v>67</v>
      </c>
      <c r="S689" s="99" t="s">
        <v>68</v>
      </c>
      <c r="T689" s="167" t="s">
        <v>69</v>
      </c>
      <c r="U689" s="71" t="s">
        <v>33</v>
      </c>
      <c r="V689" s="99" t="s">
        <v>70</v>
      </c>
    </row>
    <row r="690" spans="1:34" x14ac:dyDescent="0.25">
      <c r="A690" s="3" t="s">
        <v>27</v>
      </c>
      <c r="B690" s="3">
        <v>0</v>
      </c>
      <c r="C690" s="3">
        <v>0.3</v>
      </c>
      <c r="D690" s="3">
        <v>243</v>
      </c>
      <c r="E690" s="3">
        <v>1.73</v>
      </c>
      <c r="F690" s="3">
        <v>5</v>
      </c>
      <c r="G690" s="169">
        <v>12</v>
      </c>
      <c r="H690" s="3">
        <v>1820</v>
      </c>
      <c r="I690" s="169">
        <v>19645</v>
      </c>
      <c r="J690" s="3">
        <v>20</v>
      </c>
      <c r="K690" s="3">
        <v>40</v>
      </c>
      <c r="L690" s="3">
        <v>500</v>
      </c>
      <c r="M690" s="3">
        <v>1000</v>
      </c>
      <c r="O690" s="168"/>
      <c r="P690" s="168"/>
      <c r="Q690" s="168"/>
      <c r="R690" s="72" t="s">
        <v>71</v>
      </c>
      <c r="S690" s="72" t="s">
        <v>71</v>
      </c>
      <c r="T690" s="168"/>
      <c r="U690" s="73">
        <v>500</v>
      </c>
      <c r="V690" s="3">
        <v>1.5</v>
      </c>
    </row>
    <row r="691" spans="1:34" x14ac:dyDescent="0.25">
      <c r="A691" s="3" t="s">
        <v>28</v>
      </c>
      <c r="B691" s="3">
        <v>0</v>
      </c>
      <c r="C691" s="3">
        <v>0.3</v>
      </c>
      <c r="D691" s="3">
        <v>254</v>
      </c>
      <c r="E691" s="3">
        <v>1.88</v>
      </c>
      <c r="F691" s="3">
        <v>3</v>
      </c>
      <c r="G691" s="170"/>
      <c r="H691" s="3">
        <v>2720</v>
      </c>
      <c r="I691" s="170"/>
      <c r="J691" s="5"/>
      <c r="K691" s="5"/>
      <c r="L691" s="5"/>
      <c r="M691" s="5"/>
      <c r="O691" s="74">
        <v>1</v>
      </c>
      <c r="P691" s="74">
        <v>106</v>
      </c>
      <c r="Q691" s="74">
        <v>110</v>
      </c>
      <c r="R691" s="74">
        <v>6</v>
      </c>
      <c r="S691" s="74">
        <v>5</v>
      </c>
      <c r="T691" s="74">
        <f>R691*$U$5/60+S691</f>
        <v>55</v>
      </c>
      <c r="U691" s="75"/>
    </row>
    <row r="692" spans="1:34" x14ac:dyDescent="0.25">
      <c r="A692" s="3" t="s">
        <v>29</v>
      </c>
      <c r="B692" s="3">
        <v>0</v>
      </c>
      <c r="C692" s="3">
        <v>0.3</v>
      </c>
      <c r="D692" s="3">
        <v>143</v>
      </c>
      <c r="E692" s="3">
        <v>2.4300000000000002</v>
      </c>
      <c r="F692" s="3">
        <v>8</v>
      </c>
      <c r="G692" s="170"/>
      <c r="H692" s="3">
        <v>3700</v>
      </c>
      <c r="I692" s="170"/>
      <c r="J692" s="5"/>
      <c r="K692" s="140" t="s">
        <v>73</v>
      </c>
      <c r="L692" s="141">
        <v>12</v>
      </c>
      <c r="M692" s="140" t="s">
        <v>74</v>
      </c>
      <c r="N692" s="141">
        <v>19645</v>
      </c>
      <c r="O692" s="74">
        <v>2</v>
      </c>
      <c r="P692" s="74">
        <v>76</v>
      </c>
      <c r="Q692" s="74">
        <v>40</v>
      </c>
      <c r="R692" s="74">
        <v>9</v>
      </c>
      <c r="S692" s="74">
        <v>2</v>
      </c>
      <c r="T692" s="74">
        <f t="shared" ref="T692:T694" si="72">R692*$U$5/60+S692</f>
        <v>77</v>
      </c>
      <c r="U692" s="75"/>
    </row>
    <row r="693" spans="1:34" x14ac:dyDescent="0.25">
      <c r="A693" s="3" t="s">
        <v>30</v>
      </c>
      <c r="B693" s="3">
        <v>0</v>
      </c>
      <c r="C693" s="3">
        <v>0.3</v>
      </c>
      <c r="D693" s="3">
        <v>449</v>
      </c>
      <c r="E693" s="3">
        <v>2.5299999999999998</v>
      </c>
      <c r="F693" s="3">
        <v>4</v>
      </c>
      <c r="G693" s="171"/>
      <c r="H693" s="3">
        <v>4320</v>
      </c>
      <c r="I693" s="171"/>
      <c r="J693" s="5"/>
      <c r="K693" s="140"/>
      <c r="L693" s="141"/>
      <c r="M693" s="140"/>
      <c r="N693" s="141"/>
      <c r="O693" s="74">
        <v>3</v>
      </c>
      <c r="P693" s="74">
        <v>95</v>
      </c>
      <c r="Q693" s="74">
        <v>67</v>
      </c>
      <c r="R693" s="74">
        <v>5</v>
      </c>
      <c r="S693" s="74">
        <v>4</v>
      </c>
      <c r="T693" s="74">
        <f t="shared" si="72"/>
        <v>45.666666666666664</v>
      </c>
      <c r="U693" s="75"/>
    </row>
    <row r="694" spans="1:34" ht="15.75" thickBo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O694" s="74">
        <v>4</v>
      </c>
      <c r="P694" s="74">
        <v>140</v>
      </c>
      <c r="Q694" s="94">
        <v>85</v>
      </c>
      <c r="R694" s="94">
        <v>8</v>
      </c>
      <c r="S694" s="94">
        <v>3</v>
      </c>
      <c r="T694" s="74">
        <f t="shared" si="72"/>
        <v>69.666666666666671</v>
      </c>
    </row>
    <row r="695" spans="1:34" x14ac:dyDescent="0.25">
      <c r="A695" s="142" t="s">
        <v>36</v>
      </c>
      <c r="B695" s="144" t="s">
        <v>106</v>
      </c>
      <c r="C695" s="144"/>
      <c r="D695" s="144"/>
      <c r="E695" s="144"/>
      <c r="F695" s="20" t="s">
        <v>27</v>
      </c>
      <c r="G695" s="20" t="s">
        <v>28</v>
      </c>
      <c r="H695" s="20" t="s">
        <v>29</v>
      </c>
      <c r="I695" s="20" t="s">
        <v>30</v>
      </c>
    </row>
    <row r="696" spans="1:34" ht="15.75" thickBot="1" x14ac:dyDescent="0.3">
      <c r="A696" s="143"/>
      <c r="B696" s="145"/>
      <c r="C696" s="145"/>
      <c r="D696" s="145"/>
      <c r="E696" s="145"/>
      <c r="F696" s="20">
        <v>126</v>
      </c>
      <c r="G696" s="26">
        <v>91</v>
      </c>
      <c r="H696" s="26">
        <v>67</v>
      </c>
      <c r="I696" s="26">
        <v>201</v>
      </c>
    </row>
    <row r="697" spans="1:34" ht="15.75" thickBot="1" x14ac:dyDescent="0.3">
      <c r="A697" s="143"/>
      <c r="B697" s="145"/>
      <c r="C697" s="145"/>
      <c r="D697" s="145"/>
      <c r="E697" s="145"/>
      <c r="F697" s="7"/>
      <c r="G697" s="146" t="s">
        <v>27</v>
      </c>
      <c r="H697" s="147"/>
      <c r="I697" s="147"/>
      <c r="J697" s="147"/>
      <c r="K697" s="148"/>
      <c r="L697" s="149" t="s">
        <v>28</v>
      </c>
      <c r="M697" s="150"/>
      <c r="N697" s="150"/>
      <c r="O697" s="150"/>
      <c r="P697" s="151"/>
      <c r="Q697" s="152" t="s">
        <v>29</v>
      </c>
      <c r="R697" s="153"/>
      <c r="S697" s="153"/>
      <c r="T697" s="153"/>
      <c r="U697" s="154"/>
      <c r="V697" s="155" t="s">
        <v>30</v>
      </c>
      <c r="W697" s="156"/>
      <c r="X697" s="156"/>
      <c r="Y697" s="156"/>
      <c r="Z697" s="157"/>
      <c r="AA697" s="158" t="s">
        <v>42</v>
      </c>
      <c r="AB697" s="159"/>
      <c r="AC697" s="160" t="s">
        <v>44</v>
      </c>
      <c r="AD697" s="162" t="s">
        <v>47</v>
      </c>
      <c r="AE697" s="163"/>
      <c r="AF697" s="163"/>
      <c r="AG697" s="164"/>
      <c r="AH697" s="138" t="s">
        <v>62</v>
      </c>
    </row>
    <row r="698" spans="1:34" ht="36.75" x14ac:dyDescent="0.25">
      <c r="A698" s="21" t="s">
        <v>32</v>
      </c>
      <c r="B698" s="22" t="s">
        <v>37</v>
      </c>
      <c r="C698" s="23" t="s">
        <v>33</v>
      </c>
      <c r="D698" s="22" t="s">
        <v>38</v>
      </c>
      <c r="E698" s="22" t="s">
        <v>34</v>
      </c>
      <c r="F698" s="25" t="s">
        <v>35</v>
      </c>
      <c r="G698" s="27" t="s">
        <v>39</v>
      </c>
      <c r="H698" s="10" t="s">
        <v>40</v>
      </c>
      <c r="I698" s="10" t="s">
        <v>45</v>
      </c>
      <c r="J698" s="10" t="s">
        <v>46</v>
      </c>
      <c r="K698" s="28" t="s">
        <v>41</v>
      </c>
      <c r="L698" s="30" t="s">
        <v>39</v>
      </c>
      <c r="M698" s="13" t="s">
        <v>40</v>
      </c>
      <c r="N698" s="13" t="s">
        <v>45</v>
      </c>
      <c r="O698" s="13" t="s">
        <v>46</v>
      </c>
      <c r="P698" s="31" t="s">
        <v>41</v>
      </c>
      <c r="Q698" s="33" t="s">
        <v>39</v>
      </c>
      <c r="R698" s="12" t="s">
        <v>40</v>
      </c>
      <c r="S698" s="12" t="s">
        <v>45</v>
      </c>
      <c r="T698" s="12" t="s">
        <v>46</v>
      </c>
      <c r="U698" s="34" t="s">
        <v>41</v>
      </c>
      <c r="V698" s="36" t="s">
        <v>39</v>
      </c>
      <c r="W698" s="11" t="s">
        <v>40</v>
      </c>
      <c r="X698" s="11" t="s">
        <v>45</v>
      </c>
      <c r="Y698" s="11" t="s">
        <v>46</v>
      </c>
      <c r="Z698" s="37" t="s">
        <v>41</v>
      </c>
      <c r="AA698" s="39" t="s">
        <v>41</v>
      </c>
      <c r="AB698" s="40" t="s">
        <v>43</v>
      </c>
      <c r="AC698" s="161"/>
      <c r="AD698" s="43" t="s">
        <v>27</v>
      </c>
      <c r="AE698" s="1" t="s">
        <v>28</v>
      </c>
      <c r="AF698" s="1" t="s">
        <v>29</v>
      </c>
      <c r="AG698" s="1" t="s">
        <v>30</v>
      </c>
      <c r="AH698" s="139"/>
    </row>
    <row r="699" spans="1:34" x14ac:dyDescent="0.25">
      <c r="A699" s="24">
        <v>4</v>
      </c>
      <c r="B699" s="9">
        <v>8</v>
      </c>
      <c r="C699" s="9">
        <v>500</v>
      </c>
      <c r="D699" s="9">
        <v>3</v>
      </c>
      <c r="E699" s="48">
        <f>B699*C699/60+D699</f>
        <v>69.666666666666671</v>
      </c>
      <c r="F699" s="100">
        <v>140</v>
      </c>
      <c r="G699" s="49">
        <f>B$5*(1-AD699*C$5)</f>
        <v>0</v>
      </c>
      <c r="H699" s="50">
        <f>G699+E699</f>
        <v>69.666666666666671</v>
      </c>
      <c r="I699" s="15">
        <f>(H699/D$5)^E$5</f>
        <v>0.11516869637804684</v>
      </c>
      <c r="J699" s="15">
        <f>(G699/D$5)^E$5</f>
        <v>0</v>
      </c>
      <c r="K699" s="29">
        <f>1-EXP(J699-I699)</f>
        <v>0.10878421365041502</v>
      </c>
      <c r="L699" s="51">
        <f>B$6*(1-AE699*C$6)</f>
        <v>0</v>
      </c>
      <c r="M699" s="52">
        <f>L699+E699</f>
        <v>69.666666666666671</v>
      </c>
      <c r="N699" s="17">
        <f>(M699/D$6)^E$6</f>
        <v>8.7861714115895329E-2</v>
      </c>
      <c r="O699" s="17">
        <f>(L699/D$6)^E$6</f>
        <v>0</v>
      </c>
      <c r="P699" s="32">
        <f>1-EXP(O699-N699)</f>
        <v>8.4112477717763534E-2</v>
      </c>
      <c r="Q699" s="53">
        <f>B$7*(1-AF699*C$7)</f>
        <v>0</v>
      </c>
      <c r="R699" s="54">
        <f>Q699+E699</f>
        <v>69.666666666666671</v>
      </c>
      <c r="S699" s="16">
        <f>(R699/D$7)^E$7</f>
        <v>0.17421448251746105</v>
      </c>
      <c r="T699" s="16">
        <f>(Q699/D$7)^E$7</f>
        <v>0</v>
      </c>
      <c r="U699" s="35">
        <f>1-EXP(T699-S699)</f>
        <v>0.15988331200899064</v>
      </c>
      <c r="V699" s="55">
        <f>B$8*(1-AG699*C$8)</f>
        <v>0</v>
      </c>
      <c r="W699" s="56">
        <f>V699+E699</f>
        <v>69.666666666666671</v>
      </c>
      <c r="X699" s="18">
        <f>(W699/D$8)^E$8</f>
        <v>8.9674731846197935E-3</v>
      </c>
      <c r="Y699" s="18">
        <f>(V699/D$8)^E$8</f>
        <v>0</v>
      </c>
      <c r="Z699" s="38">
        <f>1-EXP(Y699-X699)</f>
        <v>8.9273853154187011E-3</v>
      </c>
      <c r="AA699" s="41">
        <f>K699*P699*U699*Z699</f>
        <v>1.3060317021926209E-5</v>
      </c>
      <c r="AB699" s="42">
        <f>1-AA699</f>
        <v>0.99998693968297803</v>
      </c>
      <c r="AC699" s="47">
        <f>(AD699*F$5+AE699*F$6+AF699*F$7+AG699*F$8)+E699</f>
        <v>69.666666666666671</v>
      </c>
      <c r="AD699" s="43">
        <v>0</v>
      </c>
      <c r="AE699" s="1">
        <v>0</v>
      </c>
      <c r="AF699" s="1">
        <v>0</v>
      </c>
      <c r="AG699" s="1">
        <v>0</v>
      </c>
      <c r="AH699" s="74">
        <v>85</v>
      </c>
    </row>
    <row r="700" spans="1:34" x14ac:dyDescent="0.25">
      <c r="A700" s="76">
        <v>1</v>
      </c>
      <c r="B700" s="58">
        <v>6</v>
      </c>
      <c r="C700" s="9">
        <v>500</v>
      </c>
      <c r="D700" s="58">
        <v>5</v>
      </c>
      <c r="E700" s="48">
        <f t="shared" ref="E700:E702" si="73">B700*C700/60+D700</f>
        <v>55</v>
      </c>
      <c r="F700" s="100">
        <v>106</v>
      </c>
      <c r="G700" s="49">
        <f>H699*(1-AD700*C$5)</f>
        <v>69.666666666666671</v>
      </c>
      <c r="H700" s="50">
        <f>G700+E700</f>
        <v>124.66666666666667</v>
      </c>
      <c r="I700" s="15">
        <f>(H700/D$5)^E$5</f>
        <v>0.31517317577772647</v>
      </c>
      <c r="J700" s="15">
        <f>(G700/D$5)^E$5</f>
        <v>0.11516869637804684</v>
      </c>
      <c r="K700" s="29">
        <f>1-EXP(J700-I700)</f>
        <v>0.18127291433607728</v>
      </c>
      <c r="L700" s="51">
        <f>M699*(1-AE700*C$6)</f>
        <v>69.666666666666671</v>
      </c>
      <c r="M700" s="52">
        <f>L700+E700</f>
        <v>124.66666666666667</v>
      </c>
      <c r="N700" s="17">
        <f>(M700/D$6)^E$6</f>
        <v>0.26237549202961352</v>
      </c>
      <c r="O700" s="17">
        <f>(L700/D$6)^E$6</f>
        <v>8.7861714115895329E-2</v>
      </c>
      <c r="P700" s="32">
        <f>1-EXP(O700-N700)</f>
        <v>0.16013471744190411</v>
      </c>
      <c r="Q700" s="53">
        <f>R699*(1-AF700*C$7)</f>
        <v>48.766666666666666</v>
      </c>
      <c r="R700" s="54">
        <f>Q700+E700</f>
        <v>103.76666666666667</v>
      </c>
      <c r="S700" s="16">
        <f>(R700/D$7)^E$7</f>
        <v>0.45872672582468715</v>
      </c>
      <c r="T700" s="16">
        <f>(Q700/D$7)^E$7</f>
        <v>7.3227210826217928E-2</v>
      </c>
      <c r="U700" s="35">
        <f>1-EXP(T700-S700)</f>
        <v>0.31988917421664786</v>
      </c>
      <c r="V700" s="55">
        <f>W699*(1-AG700*C$8)</f>
        <v>69.666666666666671</v>
      </c>
      <c r="W700" s="56">
        <f>V700+E700</f>
        <v>124.66666666666667</v>
      </c>
      <c r="X700" s="18">
        <f>(W700/D$8)^E$8</f>
        <v>3.9089951931753103E-2</v>
      </c>
      <c r="Y700" s="18">
        <f>(V700/D$8)^E$8</f>
        <v>8.9674731846197935E-3</v>
      </c>
      <c r="Z700" s="38">
        <f>1-EXP(Y700-X700)</f>
        <v>2.967331812605134E-2</v>
      </c>
      <c r="AA700" s="41">
        <f>K700*P700*U700*Z700</f>
        <v>2.7553962959915151E-4</v>
      </c>
      <c r="AB700" s="42">
        <f>1-AA700</f>
        <v>0.99972446037040086</v>
      </c>
      <c r="AC700" s="47">
        <f>AF700*F$7+E700+AC699</f>
        <v>132.66666666666669</v>
      </c>
      <c r="AD700" s="43">
        <v>0</v>
      </c>
      <c r="AE700" s="1">
        <v>0</v>
      </c>
      <c r="AF700" s="1">
        <v>1</v>
      </c>
      <c r="AG700" s="1">
        <v>0</v>
      </c>
      <c r="AH700" s="74">
        <v>110</v>
      </c>
    </row>
    <row r="701" spans="1:34" x14ac:dyDescent="0.25">
      <c r="A701" s="24">
        <v>2</v>
      </c>
      <c r="B701" s="9">
        <v>9</v>
      </c>
      <c r="C701" s="58">
        <v>500</v>
      </c>
      <c r="D701" s="58">
        <v>2</v>
      </c>
      <c r="E701" s="48">
        <f t="shared" si="73"/>
        <v>77</v>
      </c>
      <c r="F701" s="100">
        <v>76</v>
      </c>
      <c r="G701" s="68">
        <f>H700*(1-AD701*C$5)</f>
        <v>87.266666666666666</v>
      </c>
      <c r="H701" s="69">
        <f>G701+E701</f>
        <v>164.26666666666665</v>
      </c>
      <c r="I701" s="70">
        <f>(H701/D$5)^E$5</f>
        <v>0.50792745169025055</v>
      </c>
      <c r="J701" s="70">
        <f>(G701/D$5)^E$5</f>
        <v>0.17004695403506842</v>
      </c>
      <c r="K701" s="29">
        <f>1-EXP(J701-I701)</f>
        <v>0.28671947849979462</v>
      </c>
      <c r="L701" s="51">
        <f>M700*(1-AE701*C$6)</f>
        <v>87.266666666666666</v>
      </c>
      <c r="M701" s="52">
        <f>L701+E701</f>
        <v>164.26666666666665</v>
      </c>
      <c r="N701" s="17">
        <f>(M701/D$6)^E$6</f>
        <v>0.4407025549284625</v>
      </c>
      <c r="O701" s="17">
        <f>(L701/D$6)^E$6</f>
        <v>0.13418611561976262</v>
      </c>
      <c r="P701" s="32">
        <f>1-EXP(O701-N701)</f>
        <v>0.26399358135681483</v>
      </c>
      <c r="Q701" s="53">
        <f>R700*(1-AF701*C$7)</f>
        <v>72.636666666666656</v>
      </c>
      <c r="R701" s="54">
        <f>Q701+E701</f>
        <v>149.63666666666666</v>
      </c>
      <c r="S701" s="16">
        <f>(R701/D$7)^E$7</f>
        <v>1.1165439694083064</v>
      </c>
      <c r="T701" s="16">
        <f>(Q701/D$7)^E$7</f>
        <v>0.1928156498712342</v>
      </c>
      <c r="U701" s="35">
        <f>1-EXP(T701-S701)</f>
        <v>0.60296399890088104</v>
      </c>
      <c r="V701" s="55">
        <f>W700*(1-AG701*C$8)</f>
        <v>124.66666666666667</v>
      </c>
      <c r="W701" s="56">
        <f>V701+E701</f>
        <v>201.66666666666669</v>
      </c>
      <c r="X701" s="18">
        <f>(W701/D$8)^E$8</f>
        <v>0.13199001575183039</v>
      </c>
      <c r="Y701" s="18">
        <f>(V701/D$8)^E$8</f>
        <v>3.9089951931753103E-2</v>
      </c>
      <c r="Z701" s="38">
        <f>1-EXP(Y701-X701)</f>
        <v>8.8715433955963707E-2</v>
      </c>
      <c r="AA701" s="41">
        <f>K701*P701*U701*Z701</f>
        <v>4.0489380277572385E-3</v>
      </c>
      <c r="AB701" s="42">
        <f>1-AA701</f>
        <v>0.99595106197224281</v>
      </c>
      <c r="AC701" s="47">
        <f>(AF701*F$7)+E701+AC700</f>
        <v>217.66666666666669</v>
      </c>
      <c r="AD701" s="77">
        <v>1</v>
      </c>
      <c r="AE701" s="78">
        <v>1</v>
      </c>
      <c r="AF701" s="78">
        <v>1</v>
      </c>
      <c r="AG701" s="78">
        <v>0</v>
      </c>
      <c r="AH701" s="74">
        <v>40</v>
      </c>
    </row>
    <row r="702" spans="1:34" ht="15.75" thickBot="1" x14ac:dyDescent="0.3">
      <c r="A702" s="57">
        <v>3</v>
      </c>
      <c r="B702" s="58">
        <v>5</v>
      </c>
      <c r="C702" s="58">
        <v>500</v>
      </c>
      <c r="D702" s="9">
        <v>4</v>
      </c>
      <c r="E702" s="48">
        <f t="shared" si="73"/>
        <v>45.666666666666664</v>
      </c>
      <c r="F702" s="100">
        <v>95</v>
      </c>
      <c r="G702" s="68">
        <f>H701*(1-AD702*C$5)</f>
        <v>114.98666666666665</v>
      </c>
      <c r="H702" s="69">
        <f>G702+E702</f>
        <v>160.65333333333331</v>
      </c>
      <c r="I702" s="70">
        <f>(H702/D$5)^E$5</f>
        <v>0.48875408312881768</v>
      </c>
      <c r="J702" s="70">
        <f>(G702/D$5)^E$5</f>
        <v>0.27404462901257293</v>
      </c>
      <c r="K702" s="29">
        <f>1-EXP(J702-I702)</f>
        <v>0.19322418848098599</v>
      </c>
      <c r="L702" s="51">
        <f>M701*(1-AE702*C$6)</f>
        <v>114.98666666666665</v>
      </c>
      <c r="M702" s="52">
        <f>L702+E702</f>
        <v>160.65333333333331</v>
      </c>
      <c r="N702" s="17">
        <f>(M702/D$6)^E$6</f>
        <v>0.42265433313983669</v>
      </c>
      <c r="O702" s="17">
        <f>(L702/D$6)^E$6</f>
        <v>0.22538752965113423</v>
      </c>
      <c r="P702" s="32">
        <f>1-EXP(O702-N702)</f>
        <v>0.17902843398794011</v>
      </c>
      <c r="Q702" s="53">
        <f>R701*(1-AF702*C$7)</f>
        <v>104.74566666666665</v>
      </c>
      <c r="R702" s="54">
        <f>Q702+E702</f>
        <v>150.41233333333332</v>
      </c>
      <c r="S702" s="16">
        <f>(R702/D$7)^E$7</f>
        <v>1.1306604702201366</v>
      </c>
      <c r="T702" s="16">
        <f>(Q702/D$7)^E$7</f>
        <v>0.46931460268470798</v>
      </c>
      <c r="U702" s="35">
        <f>1-EXP(T702-S702)</f>
        <v>0.48384381104819896</v>
      </c>
      <c r="V702" s="55">
        <f>W701*(1-AG702*C$8)</f>
        <v>141.16666666666666</v>
      </c>
      <c r="W702" s="56">
        <f>V702+E702</f>
        <v>186.83333333333331</v>
      </c>
      <c r="X702" s="18">
        <f>(W702/D$8)^E$8</f>
        <v>0.10879183288616899</v>
      </c>
      <c r="Y702" s="18">
        <f>(V702/D$8)^E$8</f>
        <v>5.3535162088524581E-2</v>
      </c>
      <c r="Z702" s="38">
        <f>1-EXP(Y702-X702)</f>
        <v>5.3757755969894516E-2</v>
      </c>
      <c r="AA702" s="41">
        <f>K702*P702*U702*Z702</f>
        <v>8.9976651453927542E-4</v>
      </c>
      <c r="AB702" s="42">
        <f>1-AA702</f>
        <v>0.99910023348546073</v>
      </c>
      <c r="AC702" s="47">
        <f>(AF702*F$7)+E702+AC701</f>
        <v>271.33333333333337</v>
      </c>
      <c r="AD702" s="80">
        <v>1</v>
      </c>
      <c r="AE702" s="45">
        <v>1</v>
      </c>
      <c r="AF702" s="81">
        <v>1</v>
      </c>
      <c r="AG702" s="45">
        <v>1</v>
      </c>
      <c r="AH702" s="94">
        <v>67</v>
      </c>
    </row>
    <row r="703" spans="1:34" ht="18.75" x14ac:dyDescent="0.3">
      <c r="A703" s="132" t="s">
        <v>53</v>
      </c>
      <c r="B703" s="132"/>
      <c r="C703" s="132"/>
      <c r="D703" s="132"/>
      <c r="E703" s="132"/>
      <c r="F703" s="132"/>
      <c r="G703" s="132"/>
      <c r="H703" s="132"/>
      <c r="I703" s="132"/>
      <c r="J703" s="132"/>
      <c r="AG703" s="46"/>
    </row>
    <row r="704" spans="1:34" ht="15.75" x14ac:dyDescent="0.25">
      <c r="A704" s="19" t="s">
        <v>82</v>
      </c>
      <c r="B704" s="60" t="s">
        <v>49</v>
      </c>
      <c r="C704" s="61" t="s">
        <v>50</v>
      </c>
      <c r="D704" s="19" t="s">
        <v>58</v>
      </c>
      <c r="E704" s="60" t="s">
        <v>57</v>
      </c>
      <c r="F704" s="61" t="s">
        <v>50</v>
      </c>
      <c r="G704" s="19" t="s">
        <v>48</v>
      </c>
      <c r="H704" s="60" t="s">
        <v>61</v>
      </c>
      <c r="I704" s="61" t="s">
        <v>50</v>
      </c>
      <c r="J704" s="19" t="s">
        <v>54</v>
      </c>
      <c r="K704" s="83" t="s">
        <v>84</v>
      </c>
      <c r="L704" s="61" t="s">
        <v>50</v>
      </c>
      <c r="M704" s="61" t="s">
        <v>85</v>
      </c>
      <c r="O704" s="174" t="s">
        <v>64</v>
      </c>
      <c r="P704" s="174"/>
      <c r="Q704" s="175" t="s">
        <v>109</v>
      </c>
      <c r="R704" s="175"/>
    </row>
    <row r="705" spans="1:20" ht="24.75" x14ac:dyDescent="0.25">
      <c r="A705" s="61" t="s">
        <v>51</v>
      </c>
      <c r="B705" s="1">
        <f>AA699</f>
        <v>1.3060317021926209E-5</v>
      </c>
      <c r="C705" s="59">
        <f>MAX(AC699+1*L692-F699,0)</f>
        <v>0</v>
      </c>
      <c r="D705" s="62" t="s">
        <v>55</v>
      </c>
      <c r="E705" s="1">
        <f>AA699*AA700</f>
        <v>3.598634914669041E-9</v>
      </c>
      <c r="F705" s="1">
        <f>MAX(AC700+2*L692-F700,0)</f>
        <v>50.666666666666686</v>
      </c>
      <c r="G705" s="62" t="s">
        <v>59</v>
      </c>
      <c r="H705" s="1">
        <f>AA699*AA700*AA701</f>
        <v>1.4570649754018404E-11</v>
      </c>
      <c r="I705" s="1">
        <f>AC701+3*L692-F701</f>
        <v>177.66666666666669</v>
      </c>
      <c r="J705" s="62" t="s">
        <v>83</v>
      </c>
      <c r="K705" s="1">
        <f>AA699*AA700*AA701*AA702</f>
        <v>1.3110182743745691E-14</v>
      </c>
      <c r="L705" s="1">
        <f>AC702+4*L692-F702</f>
        <v>224.33333333333337</v>
      </c>
      <c r="M705" s="1">
        <f>B705*C705*AH699+E705*F705*AH700+H705*I705*AH701+K705*L705*AH702</f>
        <v>2.016013772575739E-5</v>
      </c>
      <c r="O705" s="1" t="s">
        <v>27</v>
      </c>
      <c r="P705" s="1">
        <f>2*H690</f>
        <v>3640</v>
      </c>
      <c r="Q705" s="1">
        <f>(K699*(1-P699)*(1-U699)*(1-Z699))+(P699*(1-K699)*(1-U699)*(1-Z699))+(U699*(1-K699)*(1-P699)*(1-Z699))+(Z699*(1-K699)*(1-P699)*(1-U699))</f>
        <v>0.28083409477630866</v>
      </c>
      <c r="R705" s="1">
        <f>Q705*(L$7*(J$5*K$5+L$5)+I$5)</f>
        <v>9897.9976703909997</v>
      </c>
    </row>
    <row r="706" spans="1:20" ht="24.75" x14ac:dyDescent="0.25">
      <c r="A706" s="62" t="s">
        <v>52</v>
      </c>
      <c r="B706" s="1">
        <f>AB699</f>
        <v>0.99998693968297803</v>
      </c>
      <c r="C706" s="59">
        <f>MAX(AC699-F699,0)</f>
        <v>0</v>
      </c>
      <c r="D706" s="62" t="s">
        <v>56</v>
      </c>
      <c r="E706" s="1">
        <f>AA699*AB700+AA700*AB699</f>
        <v>2.8859274935124837E-4</v>
      </c>
      <c r="F706" s="1">
        <f>MAX(AC700+1*L692-F700,0)</f>
        <v>38.666666666666686</v>
      </c>
      <c r="G706" s="62" t="s">
        <v>60</v>
      </c>
      <c r="H706" s="1">
        <f>AA699*AA700*AB701+AA700*AA701*AB699+AA699*AA701*AB700</f>
        <v>1.1720782216481977E-6</v>
      </c>
      <c r="I706" s="1">
        <f>AC701+2*L692-F701</f>
        <v>165.66666666666669</v>
      </c>
      <c r="J706" s="62" t="s">
        <v>59</v>
      </c>
      <c r="K706">
        <f>AB699*AA700*AA701*AA702+AB700*AA699*AA701*AA702*+AB701*AA699*AA700*AA702+AB702*AA699*AA700*AA701</f>
        <v>1.0183625389901406E-9</v>
      </c>
      <c r="L706" s="1">
        <f>AC702+3*L692-F702</f>
        <v>212.33333333333337</v>
      </c>
      <c r="M706" s="1">
        <f>B706*C706*AH699+E706*F706*AH700+H706*I706*AH701+K706*L706*AH702</f>
        <v>1.235262619821033</v>
      </c>
      <c r="O706" s="1" t="s">
        <v>28</v>
      </c>
      <c r="P706" s="1">
        <f>2*H691</f>
        <v>5440</v>
      </c>
      <c r="Q706" s="1">
        <f t="shared" ref="Q706:Q708" si="74">(K700*(1-P700)*(1-U700)*(1-Z700))+(P700*(1-K700)*(1-U700)*(1-Z700))+(U700*(1-K700)*(1-P700)*(1-Z700))+(Z700*(1-K700)*(1-P700)*(1-U700))</f>
        <v>0.41430433234896186</v>
      </c>
      <c r="R706" s="1">
        <f t="shared" ref="R706:R708" si="75">Q706*(L$7*(J$5*K$5+L$5)+I$5)</f>
        <v>14602.156193639161</v>
      </c>
    </row>
    <row r="707" spans="1:20" ht="24.75" x14ac:dyDescent="0.25">
      <c r="A707" s="1"/>
      <c r="B707" s="1"/>
      <c r="C707" s="1"/>
      <c r="D707" s="62" t="s">
        <v>52</v>
      </c>
      <c r="E707" s="1">
        <f>AB699*AB700</f>
        <v>0.99971140365201383</v>
      </c>
      <c r="F707" s="59">
        <f>MAX(AC700-F700,0)</f>
        <v>26.666666666666686</v>
      </c>
      <c r="G707" s="62" t="s">
        <v>56</v>
      </c>
      <c r="H707" s="1">
        <f>AA699*AB700*AB701+AA700*AB699*AB701*+AA701*AB699*AB700</f>
        <v>1.4114643084664858E-5</v>
      </c>
      <c r="I707" s="1">
        <f>AC701+1*L692-F701</f>
        <v>153.66666666666669</v>
      </c>
      <c r="J707" s="62" t="s">
        <v>60</v>
      </c>
      <c r="K707" s="1">
        <f>AA699*AA700*AB701*AB702 + AA699*AA701*AB700*AB702 + AA699*AA702*AB700*AB701 + AA700*AA701*AB699*AB702 + AA700*AA702*AB699*AB701 + AA701*AA702*AB699*AB700</f>
        <v>5.0716858169969962E-6</v>
      </c>
      <c r="L707" s="1">
        <f>AC702+2*L692-F702</f>
        <v>200.33333333333337</v>
      </c>
      <c r="M707" s="1">
        <f>B707*C707*AH699+E707*F707*AH700+H707*I707*AH701+K707*L707*AH702</f>
        <v>2932.6416159096671</v>
      </c>
      <c r="O707" s="1" t="s">
        <v>29</v>
      </c>
      <c r="P707" s="1">
        <f>3*(F692*(J690*K690+L690)+H692)</f>
        <v>42300</v>
      </c>
      <c r="Q707" s="1">
        <f t="shared" si="74"/>
        <v>0.45143490829382527</v>
      </c>
      <c r="R707" s="1">
        <f t="shared" si="75"/>
        <v>15910.823342815871</v>
      </c>
    </row>
    <row r="708" spans="1:20" ht="24.75" x14ac:dyDescent="0.25">
      <c r="A708" s="1"/>
      <c r="B708" s="1"/>
      <c r="C708" s="1"/>
      <c r="D708" s="1"/>
      <c r="E708" s="1"/>
      <c r="F708" s="1"/>
      <c r="G708" s="62" t="s">
        <v>52</v>
      </c>
      <c r="H708" s="1">
        <f>AB699*AB700*AB701</f>
        <v>0.99566363413298464</v>
      </c>
      <c r="I708" s="63">
        <f>AC701-F701</f>
        <v>141.66666666666669</v>
      </c>
      <c r="J708" s="62" t="s">
        <v>56</v>
      </c>
      <c r="K708" s="1">
        <f>AA699*AB700*AB701*AB702+AA700*AB699*AB701*AB702+AA701*AB699*AB700*AB702+AA702*AB699*AB700*AB701</f>
        <v>5.2271579097683289E-3</v>
      </c>
      <c r="L708" s="1">
        <f>AC702+1*L692-F702</f>
        <v>188.33333333333337</v>
      </c>
      <c r="M708" s="1">
        <f>B708*C708*AH699+E708*F708*AH700+H708*I708*AH701+K708*L708*AH702</f>
        <v>5708.0519476450063</v>
      </c>
      <c r="O708" s="1" t="s">
        <v>30</v>
      </c>
      <c r="P708" s="1">
        <f>1*H693</f>
        <v>4320</v>
      </c>
      <c r="Q708" s="1">
        <f t="shared" si="74"/>
        <v>0.46964039210838443</v>
      </c>
      <c r="R708" s="1">
        <f t="shared" si="75"/>
        <v>16552.475619860008</v>
      </c>
    </row>
    <row r="709" spans="1:20" ht="30" x14ac:dyDescent="0.25">
      <c r="I709" s="84"/>
      <c r="J709" s="62" t="s">
        <v>52</v>
      </c>
      <c r="K709" s="85">
        <f>AB699*AB700*AB701*AB702</f>
        <v>0.99476776933524735</v>
      </c>
      <c r="L709" s="1">
        <f>AC702+0*L692-F702</f>
        <v>176.33333333333337</v>
      </c>
      <c r="M709" s="1">
        <f>B709*C709*AH699+E709*F709*AH700+H709*I709*AH701+K709*L709*AH702</f>
        <v>11752.518016183061</v>
      </c>
      <c r="O709" s="64" t="s">
        <v>65</v>
      </c>
      <c r="P709" s="65">
        <f>SUM(P705:P708)</f>
        <v>55700</v>
      </c>
      <c r="Q709" s="96" t="s">
        <v>108</v>
      </c>
      <c r="R709" s="97">
        <f>SUM(R705:R708)</f>
        <v>56963.452826706038</v>
      </c>
    </row>
    <row r="710" spans="1:20" x14ac:dyDescent="0.25">
      <c r="L710" s="176" t="s">
        <v>63</v>
      </c>
      <c r="M710" s="177">
        <f>SUM(M705:M709)</f>
        <v>20394.446862517692</v>
      </c>
    </row>
    <row r="711" spans="1:20" x14ac:dyDescent="0.25">
      <c r="L711" s="176"/>
      <c r="M711" s="177"/>
    </row>
    <row r="712" spans="1:20" x14ac:dyDescent="0.25">
      <c r="A712" s="178" t="s">
        <v>90</v>
      </c>
      <c r="B712" s="178"/>
      <c r="C712" s="178"/>
      <c r="D712" s="178"/>
      <c r="E712" s="178"/>
      <c r="F712" s="178"/>
      <c r="G712" s="178"/>
      <c r="H712" s="178"/>
      <c r="I712" s="178"/>
      <c r="J712" s="178"/>
      <c r="K712" s="178"/>
      <c r="L712" s="178"/>
      <c r="M712" s="178"/>
      <c r="N712" s="178"/>
    </row>
    <row r="713" spans="1:20" ht="15.75" x14ac:dyDescent="0.25">
      <c r="A713" s="87" t="s">
        <v>86</v>
      </c>
      <c r="B713" s="62" t="s">
        <v>49</v>
      </c>
      <c r="C713" s="90" t="s">
        <v>103</v>
      </c>
      <c r="D713" s="62" t="s">
        <v>88</v>
      </c>
      <c r="E713" s="87" t="s">
        <v>77</v>
      </c>
      <c r="F713" s="62" t="s">
        <v>57</v>
      </c>
      <c r="G713" s="90" t="s">
        <v>78</v>
      </c>
      <c r="H713" s="62" t="s">
        <v>88</v>
      </c>
      <c r="I713" s="87" t="s">
        <v>75</v>
      </c>
      <c r="J713" s="62" t="s">
        <v>61</v>
      </c>
      <c r="K713" s="90" t="s">
        <v>87</v>
      </c>
      <c r="L713" s="62" t="s">
        <v>88</v>
      </c>
      <c r="M713" s="87" t="s">
        <v>76</v>
      </c>
      <c r="N713" s="62" t="s">
        <v>84</v>
      </c>
      <c r="O713" s="90" t="s">
        <v>102</v>
      </c>
      <c r="P713" s="62" t="s">
        <v>88</v>
      </c>
    </row>
    <row r="714" spans="1:20" ht="24.75" x14ac:dyDescent="0.25">
      <c r="A714" s="62" t="s">
        <v>51</v>
      </c>
      <c r="B714" s="86">
        <v>1.3060317021926209E-5</v>
      </c>
      <c r="C714" s="86">
        <f>AC699+1*L692</f>
        <v>81.666666666666671</v>
      </c>
      <c r="D714" s="86">
        <f>MAX(B714*1.5*((C714-F699)*500/2),0)</f>
        <v>0</v>
      </c>
      <c r="E714" s="62" t="s">
        <v>55</v>
      </c>
      <c r="F714" s="86">
        <v>3.598634914669041E-9</v>
      </c>
      <c r="G714" s="86">
        <f>AC700+2*L692</f>
        <v>156.66666666666669</v>
      </c>
      <c r="H714" s="86">
        <f>F714*1.5*((G714-F700)*500/2+(G714-F701)*500+(G714-F702)*500)</f>
        <v>4.5252834051963202E-4</v>
      </c>
      <c r="I714" s="62" t="s">
        <v>59</v>
      </c>
      <c r="J714" s="86">
        <v>1.4570649754018404E-11</v>
      </c>
      <c r="K714" s="86">
        <f>AC701+3*L692</f>
        <v>253.66666666666669</v>
      </c>
      <c r="L714" s="86">
        <f>J714*1.5*((K714-G714)*500/2+(K714-G714)*500)</f>
        <v>1.5900221544072584E-6</v>
      </c>
      <c r="M714" s="62" t="s">
        <v>83</v>
      </c>
      <c r="N714" s="86">
        <v>1.3110182743745691E-14</v>
      </c>
      <c r="O714" s="86">
        <f>AC702+4*L692</f>
        <v>319.33333333333337</v>
      </c>
      <c r="P714" s="86">
        <f>N714*1.5*((O714-K714)*500/2)</f>
        <v>3.2283825006473774E-10</v>
      </c>
    </row>
    <row r="715" spans="1:20" ht="24.75" x14ac:dyDescent="0.25">
      <c r="A715" s="62" t="s">
        <v>52</v>
      </c>
      <c r="B715" s="86">
        <v>0.99998693968297803</v>
      </c>
      <c r="C715" s="88">
        <f>AC699</f>
        <v>69.666666666666671</v>
      </c>
      <c r="D715" s="86">
        <f>MAX(B715*1.5*((C715-F699)*500/2),0)</f>
        <v>0</v>
      </c>
      <c r="E715" s="62" t="s">
        <v>56</v>
      </c>
      <c r="F715" s="86">
        <v>2.8859274935124837E-4</v>
      </c>
      <c r="G715" s="86">
        <f>AC700+1*L692</f>
        <v>144.66666666666669</v>
      </c>
      <c r="H715" s="86">
        <f>F715*1.5*((G715-F700)*500/2+(G715-F701)*500+(G715-F702)*500)</f>
        <v>29.797201370516404</v>
      </c>
      <c r="I715" s="62" t="s">
        <v>60</v>
      </c>
      <c r="J715" s="86">
        <v>1.1720782216481977E-6</v>
      </c>
      <c r="K715" s="86">
        <f>AC701+2*L692</f>
        <v>241.66666666666669</v>
      </c>
      <c r="L715" s="86">
        <f>J715*1.5*((K715-G715)*500/2+(K715-G715)*500)</f>
        <v>0.12790303593735958</v>
      </c>
      <c r="M715" s="62" t="s">
        <v>59</v>
      </c>
      <c r="N715" s="86">
        <v>1.0183625389901406E-9</v>
      </c>
      <c r="O715" s="86">
        <f>AC702+3*L692</f>
        <v>307.33333333333337</v>
      </c>
      <c r="P715" s="86">
        <f>N715*1.5*((O715-K715)*500/2)</f>
        <v>2.5077177522632218E-5</v>
      </c>
    </row>
    <row r="716" spans="1:20" x14ac:dyDescent="0.25">
      <c r="A716" s="86"/>
      <c r="B716" s="86"/>
      <c r="C716" s="89" t="s">
        <v>89</v>
      </c>
      <c r="D716" s="89">
        <f>SUM(D714:D715)</f>
        <v>0</v>
      </c>
      <c r="E716" s="62" t="s">
        <v>52</v>
      </c>
      <c r="F716" s="86">
        <v>0.99971140365201383</v>
      </c>
      <c r="G716" s="86">
        <f>AC700+0*L692</f>
        <v>132.66666666666669</v>
      </c>
      <c r="H716" s="86">
        <f>F716*1.5*((G716-F700)*500/2+(G716-F701)*500+(G716-F702)*500)</f>
        <v>80726.695844900154</v>
      </c>
      <c r="I716" s="62" t="s">
        <v>56</v>
      </c>
      <c r="J716" s="86">
        <v>1.4114643084664858E-5</v>
      </c>
      <c r="K716" s="86">
        <f>AC701+1*L692</f>
        <v>229.66666666666669</v>
      </c>
      <c r="L716" s="86">
        <f>J716*1.5*((K716-G716)*500/2+(K716-G716)*500)</f>
        <v>1.5402604266140525</v>
      </c>
      <c r="M716" s="62" t="s">
        <v>60</v>
      </c>
      <c r="N716" s="86">
        <v>5.0716858169969962E-6</v>
      </c>
      <c r="O716" s="86">
        <f>AC702+2*L692</f>
        <v>295.33333333333337</v>
      </c>
      <c r="P716" s="86">
        <f>N716*1.5*((O716-K716)*500/2)</f>
        <v>0.12489026324355107</v>
      </c>
    </row>
    <row r="717" spans="1:20" x14ac:dyDescent="0.25">
      <c r="A717" s="86"/>
      <c r="B717" s="86"/>
      <c r="C717" s="86"/>
      <c r="D717" s="86"/>
      <c r="E717" s="86"/>
      <c r="F717" s="86"/>
      <c r="G717" s="89" t="s">
        <v>79</v>
      </c>
      <c r="H717" s="89">
        <f>SUM(H714:H716)</f>
        <v>80756.493498799013</v>
      </c>
      <c r="I717" s="62" t="s">
        <v>52</v>
      </c>
      <c r="J717" s="86">
        <v>0.99566363413298464</v>
      </c>
      <c r="K717" s="86">
        <f>AC701+0*L692</f>
        <v>217.66666666666669</v>
      </c>
      <c r="L717" s="86">
        <f>J717*1.5*((K717-G716)*500/2+(K717-G716)*500)</f>
        <v>95210.335013966658</v>
      </c>
      <c r="M717" s="62" t="s">
        <v>56</v>
      </c>
      <c r="N717" s="86">
        <v>5.2271579097683289E-3</v>
      </c>
      <c r="O717" s="86">
        <f>AC702+1*L692</f>
        <v>283.33333333333337</v>
      </c>
      <c r="P717" s="86">
        <f>N717*1.5*((O717-K717)*500/2)</f>
        <v>128.71876352804512</v>
      </c>
    </row>
    <row r="718" spans="1:20" x14ac:dyDescent="0.25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9" t="s">
        <v>79</v>
      </c>
      <c r="L718" s="89">
        <f>SUM(L714:L717)</f>
        <v>95212.00317901923</v>
      </c>
      <c r="M718" s="62" t="s">
        <v>52</v>
      </c>
      <c r="N718" s="86">
        <v>0.99476776933524735</v>
      </c>
      <c r="O718" s="86">
        <f>AC702+0*L692</f>
        <v>271.33333333333337</v>
      </c>
      <c r="P718" s="86">
        <f>N718*1.5*((O718-K717)*500/2)</f>
        <v>20019.701357871858</v>
      </c>
      <c r="Q718" s="179" t="s">
        <v>80</v>
      </c>
      <c r="R718" s="179"/>
      <c r="S718" s="180">
        <f>D716+H717+L718+P719</f>
        <v>196117.0417145589</v>
      </c>
      <c r="T718" s="180"/>
    </row>
    <row r="719" spans="1:20" x14ac:dyDescent="0.25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9" t="s">
        <v>79</v>
      </c>
      <c r="P719" s="89">
        <f>SUM(P714:P718)</f>
        <v>20148.545036740648</v>
      </c>
      <c r="Q719" s="179"/>
      <c r="R719" s="179"/>
      <c r="S719" s="180"/>
      <c r="T719" s="180"/>
    </row>
    <row r="720" spans="1:20" x14ac:dyDescent="0.25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</row>
    <row r="721" spans="1:34" x14ac:dyDescent="0.25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</row>
    <row r="722" spans="1:34" x14ac:dyDescent="0.25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</row>
    <row r="723" spans="1:34" ht="24.75" thickBot="1" x14ac:dyDescent="0.3">
      <c r="O723" s="131" t="s">
        <v>81</v>
      </c>
      <c r="P723" s="131"/>
      <c r="Q723" s="131">
        <f>(R709+P709+M710+S718)/AC702</f>
        <v>1213.1754597191004</v>
      </c>
      <c r="R723" s="131"/>
    </row>
    <row r="724" spans="1:34" x14ac:dyDescent="0.25">
      <c r="A724" s="181" t="s">
        <v>124</v>
      </c>
      <c r="B724" s="182"/>
    </row>
    <row r="725" spans="1:34" ht="15.75" thickBot="1" x14ac:dyDescent="0.3">
      <c r="A725" s="183"/>
      <c r="B725" s="184"/>
    </row>
    <row r="726" spans="1:34" ht="21" x14ac:dyDescent="0.35">
      <c r="A726" s="185" t="s">
        <v>14</v>
      </c>
      <c r="B726" s="185"/>
      <c r="C726" s="165"/>
      <c r="D726" s="165"/>
      <c r="E726" s="165"/>
      <c r="F726" s="165"/>
      <c r="G726" s="165"/>
      <c r="H726" s="165"/>
      <c r="I726" s="165"/>
      <c r="J726" s="165"/>
      <c r="K726" s="165"/>
      <c r="L726" s="165"/>
      <c r="M726" s="165"/>
      <c r="O726" s="166" t="s">
        <v>72</v>
      </c>
      <c r="P726" s="166"/>
      <c r="Q726" s="166"/>
      <c r="R726" s="166"/>
      <c r="S726" s="166"/>
      <c r="T726" s="166"/>
      <c r="U726" s="166"/>
      <c r="V726" s="166"/>
    </row>
    <row r="727" spans="1:34" ht="36" x14ac:dyDescent="0.25">
      <c r="A727" s="4" t="s">
        <v>15</v>
      </c>
      <c r="B727" s="4" t="s">
        <v>16</v>
      </c>
      <c r="C727" s="4" t="s">
        <v>31</v>
      </c>
      <c r="D727" s="6" t="s">
        <v>17</v>
      </c>
      <c r="E727" s="6" t="s">
        <v>18</v>
      </c>
      <c r="F727" s="6" t="s">
        <v>19</v>
      </c>
      <c r="G727" s="6" t="s">
        <v>20</v>
      </c>
      <c r="H727" s="6" t="s">
        <v>21</v>
      </c>
      <c r="I727" s="6" t="s">
        <v>22</v>
      </c>
      <c r="J727" s="6" t="s">
        <v>23</v>
      </c>
      <c r="K727" s="6" t="s">
        <v>24</v>
      </c>
      <c r="L727" s="6" t="s">
        <v>25</v>
      </c>
      <c r="M727" s="6" t="s">
        <v>26</v>
      </c>
      <c r="N727" s="8"/>
      <c r="O727" s="167" t="s">
        <v>32</v>
      </c>
      <c r="P727" s="167" t="s">
        <v>35</v>
      </c>
      <c r="Q727" s="167" t="s">
        <v>66</v>
      </c>
      <c r="R727" s="99" t="s">
        <v>67</v>
      </c>
      <c r="S727" s="99" t="s">
        <v>68</v>
      </c>
      <c r="T727" s="167" t="s">
        <v>69</v>
      </c>
      <c r="U727" s="71" t="s">
        <v>33</v>
      </c>
      <c r="V727" s="99" t="s">
        <v>70</v>
      </c>
    </row>
    <row r="728" spans="1:34" x14ac:dyDescent="0.25">
      <c r="A728" s="3" t="s">
        <v>27</v>
      </c>
      <c r="B728" s="3">
        <v>0</v>
      </c>
      <c r="C728" s="3">
        <v>0.3</v>
      </c>
      <c r="D728" s="3">
        <v>243</v>
      </c>
      <c r="E728" s="3">
        <v>1.73</v>
      </c>
      <c r="F728" s="3">
        <v>5</v>
      </c>
      <c r="G728" s="169">
        <v>12</v>
      </c>
      <c r="H728" s="3">
        <v>1820</v>
      </c>
      <c r="I728" s="169">
        <v>19645</v>
      </c>
      <c r="J728" s="3">
        <v>20</v>
      </c>
      <c r="K728" s="3">
        <v>40</v>
      </c>
      <c r="L728" s="3">
        <v>500</v>
      </c>
      <c r="M728" s="3">
        <v>1000</v>
      </c>
      <c r="O728" s="168"/>
      <c r="P728" s="168"/>
      <c r="Q728" s="168"/>
      <c r="R728" s="72" t="s">
        <v>71</v>
      </c>
      <c r="S728" s="72" t="s">
        <v>71</v>
      </c>
      <c r="T728" s="168"/>
      <c r="U728" s="73">
        <v>500</v>
      </c>
      <c r="V728" s="3">
        <v>1.5</v>
      </c>
    </row>
    <row r="729" spans="1:34" x14ac:dyDescent="0.25">
      <c r="A729" s="3" t="s">
        <v>28</v>
      </c>
      <c r="B729" s="3">
        <v>0</v>
      </c>
      <c r="C729" s="3">
        <v>0.3</v>
      </c>
      <c r="D729" s="3">
        <v>254</v>
      </c>
      <c r="E729" s="3">
        <v>1.88</v>
      </c>
      <c r="F729" s="3">
        <v>3</v>
      </c>
      <c r="G729" s="170"/>
      <c r="H729" s="3">
        <v>2720</v>
      </c>
      <c r="I729" s="170"/>
      <c r="J729" s="5"/>
      <c r="K729" s="5"/>
      <c r="L729" s="5"/>
      <c r="M729" s="5"/>
      <c r="O729" s="74">
        <v>1</v>
      </c>
      <c r="P729" s="74">
        <v>106</v>
      </c>
      <c r="Q729" s="74">
        <v>110</v>
      </c>
      <c r="R729" s="74">
        <v>6</v>
      </c>
      <c r="S729" s="74">
        <v>5</v>
      </c>
      <c r="T729" s="74">
        <f>R729*$U$5/60+S729</f>
        <v>55</v>
      </c>
      <c r="U729" s="75"/>
    </row>
    <row r="730" spans="1:34" x14ac:dyDescent="0.25">
      <c r="A730" s="3" t="s">
        <v>29</v>
      </c>
      <c r="B730" s="3">
        <v>0</v>
      </c>
      <c r="C730" s="3">
        <v>0.3</v>
      </c>
      <c r="D730" s="3">
        <v>143</v>
      </c>
      <c r="E730" s="3">
        <v>2.4300000000000002</v>
      </c>
      <c r="F730" s="3">
        <v>8</v>
      </c>
      <c r="G730" s="170"/>
      <c r="H730" s="3">
        <v>3700</v>
      </c>
      <c r="I730" s="170"/>
      <c r="J730" s="5"/>
      <c r="K730" s="140" t="s">
        <v>73</v>
      </c>
      <c r="L730" s="141">
        <v>12</v>
      </c>
      <c r="M730" s="140" t="s">
        <v>74</v>
      </c>
      <c r="N730" s="141">
        <v>19645</v>
      </c>
      <c r="O730" s="74">
        <v>2</v>
      </c>
      <c r="P730" s="74">
        <v>76</v>
      </c>
      <c r="Q730" s="74">
        <v>40</v>
      </c>
      <c r="R730" s="74">
        <v>9</v>
      </c>
      <c r="S730" s="74">
        <v>2</v>
      </c>
      <c r="T730" s="74">
        <f t="shared" ref="T730:T732" si="76">R730*$U$5/60+S730</f>
        <v>77</v>
      </c>
      <c r="U730" s="75"/>
    </row>
    <row r="731" spans="1:34" x14ac:dyDescent="0.25">
      <c r="A731" s="3" t="s">
        <v>30</v>
      </c>
      <c r="B731" s="3">
        <v>0</v>
      </c>
      <c r="C731" s="3">
        <v>0.3</v>
      </c>
      <c r="D731" s="3">
        <v>449</v>
      </c>
      <c r="E731" s="3">
        <v>2.5299999999999998</v>
      </c>
      <c r="F731" s="3">
        <v>4</v>
      </c>
      <c r="G731" s="171"/>
      <c r="H731" s="3">
        <v>4320</v>
      </c>
      <c r="I731" s="171"/>
      <c r="J731" s="5"/>
      <c r="K731" s="140"/>
      <c r="L731" s="141"/>
      <c r="M731" s="140"/>
      <c r="N731" s="141"/>
      <c r="O731" s="74">
        <v>3</v>
      </c>
      <c r="P731" s="74">
        <v>95</v>
      </c>
      <c r="Q731" s="74">
        <v>67</v>
      </c>
      <c r="R731" s="74">
        <v>5</v>
      </c>
      <c r="S731" s="74">
        <v>4</v>
      </c>
      <c r="T731" s="74">
        <f t="shared" si="76"/>
        <v>45.666666666666664</v>
      </c>
      <c r="U731" s="75"/>
    </row>
    <row r="732" spans="1:34" ht="15.75" thickBo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O732" s="74">
        <v>4</v>
      </c>
      <c r="P732" s="74">
        <v>140</v>
      </c>
      <c r="Q732" s="94">
        <v>85</v>
      </c>
      <c r="R732" s="94">
        <v>8</v>
      </c>
      <c r="S732" s="94">
        <v>3</v>
      </c>
      <c r="T732" s="74">
        <f t="shared" si="76"/>
        <v>69.666666666666671</v>
      </c>
    </row>
    <row r="733" spans="1:34" x14ac:dyDescent="0.25">
      <c r="A733" s="142" t="s">
        <v>36</v>
      </c>
      <c r="B733" s="144" t="s">
        <v>106</v>
      </c>
      <c r="C733" s="144"/>
      <c r="D733" s="144"/>
      <c r="E733" s="144"/>
      <c r="F733" s="20" t="s">
        <v>27</v>
      </c>
      <c r="G733" s="20" t="s">
        <v>28</v>
      </c>
      <c r="H733" s="20" t="s">
        <v>29</v>
      </c>
      <c r="I733" s="20" t="s">
        <v>30</v>
      </c>
    </row>
    <row r="734" spans="1:34" ht="15.75" thickBot="1" x14ac:dyDescent="0.3">
      <c r="A734" s="143"/>
      <c r="B734" s="145"/>
      <c r="C734" s="145"/>
      <c r="D734" s="145"/>
      <c r="E734" s="145"/>
      <c r="F734" s="20">
        <v>126</v>
      </c>
      <c r="G734" s="26">
        <v>91</v>
      </c>
      <c r="H734" s="26">
        <v>67</v>
      </c>
      <c r="I734" s="26">
        <v>201</v>
      </c>
    </row>
    <row r="735" spans="1:34" ht="15.75" thickBot="1" x14ac:dyDescent="0.3">
      <c r="A735" s="143"/>
      <c r="B735" s="145"/>
      <c r="C735" s="145"/>
      <c r="D735" s="145"/>
      <c r="E735" s="145"/>
      <c r="F735" s="7"/>
      <c r="G735" s="146" t="s">
        <v>27</v>
      </c>
      <c r="H735" s="147"/>
      <c r="I735" s="147"/>
      <c r="J735" s="147"/>
      <c r="K735" s="148"/>
      <c r="L735" s="149" t="s">
        <v>28</v>
      </c>
      <c r="M735" s="150"/>
      <c r="N735" s="150"/>
      <c r="O735" s="150"/>
      <c r="P735" s="151"/>
      <c r="Q735" s="152" t="s">
        <v>29</v>
      </c>
      <c r="R735" s="153"/>
      <c r="S735" s="153"/>
      <c r="T735" s="153"/>
      <c r="U735" s="154"/>
      <c r="V735" s="155" t="s">
        <v>30</v>
      </c>
      <c r="W735" s="156"/>
      <c r="X735" s="156"/>
      <c r="Y735" s="156"/>
      <c r="Z735" s="157"/>
      <c r="AA735" s="158" t="s">
        <v>42</v>
      </c>
      <c r="AB735" s="159"/>
      <c r="AC735" s="160" t="s">
        <v>44</v>
      </c>
      <c r="AD735" s="162" t="s">
        <v>47</v>
      </c>
      <c r="AE735" s="163"/>
      <c r="AF735" s="163"/>
      <c r="AG735" s="164"/>
      <c r="AH735" s="138" t="s">
        <v>62</v>
      </c>
    </row>
    <row r="736" spans="1:34" ht="36.75" x14ac:dyDescent="0.25">
      <c r="A736" s="21" t="s">
        <v>32</v>
      </c>
      <c r="B736" s="22" t="s">
        <v>37</v>
      </c>
      <c r="C736" s="23" t="s">
        <v>33</v>
      </c>
      <c r="D736" s="22" t="s">
        <v>38</v>
      </c>
      <c r="E736" s="22" t="s">
        <v>34</v>
      </c>
      <c r="F736" s="25" t="s">
        <v>35</v>
      </c>
      <c r="G736" s="27" t="s">
        <v>39</v>
      </c>
      <c r="H736" s="10" t="s">
        <v>40</v>
      </c>
      <c r="I736" s="10" t="s">
        <v>45</v>
      </c>
      <c r="J736" s="10" t="s">
        <v>46</v>
      </c>
      <c r="K736" s="28" t="s">
        <v>41</v>
      </c>
      <c r="L736" s="30" t="s">
        <v>39</v>
      </c>
      <c r="M736" s="13" t="s">
        <v>40</v>
      </c>
      <c r="N736" s="13" t="s">
        <v>45</v>
      </c>
      <c r="O736" s="13" t="s">
        <v>46</v>
      </c>
      <c r="P736" s="31" t="s">
        <v>41</v>
      </c>
      <c r="Q736" s="33" t="s">
        <v>39</v>
      </c>
      <c r="R736" s="12" t="s">
        <v>40</v>
      </c>
      <c r="S736" s="12" t="s">
        <v>45</v>
      </c>
      <c r="T736" s="12" t="s">
        <v>46</v>
      </c>
      <c r="U736" s="34" t="s">
        <v>41</v>
      </c>
      <c r="V736" s="36" t="s">
        <v>39</v>
      </c>
      <c r="W736" s="11" t="s">
        <v>40</v>
      </c>
      <c r="X736" s="11" t="s">
        <v>45</v>
      </c>
      <c r="Y736" s="11" t="s">
        <v>46</v>
      </c>
      <c r="Z736" s="37" t="s">
        <v>41</v>
      </c>
      <c r="AA736" s="39" t="s">
        <v>41</v>
      </c>
      <c r="AB736" s="40" t="s">
        <v>43</v>
      </c>
      <c r="AC736" s="161"/>
      <c r="AD736" s="43" t="s">
        <v>27</v>
      </c>
      <c r="AE736" s="1" t="s">
        <v>28</v>
      </c>
      <c r="AF736" s="1" t="s">
        <v>29</v>
      </c>
      <c r="AG736" s="1" t="s">
        <v>30</v>
      </c>
      <c r="AH736" s="139"/>
    </row>
    <row r="737" spans="1:34" x14ac:dyDescent="0.25">
      <c r="A737" s="24">
        <v>4</v>
      </c>
      <c r="B737" s="9">
        <v>8</v>
      </c>
      <c r="C737" s="9">
        <v>500</v>
      </c>
      <c r="D737" s="9">
        <v>3</v>
      </c>
      <c r="E737" s="48">
        <f>B737*C737/60+D737</f>
        <v>69.666666666666671</v>
      </c>
      <c r="F737" s="100">
        <v>140</v>
      </c>
      <c r="G737" s="49">
        <f>B$5*(1-AD737*C$5)</f>
        <v>0</v>
      </c>
      <c r="H737" s="50">
        <f>G737+E737</f>
        <v>69.666666666666671</v>
      </c>
      <c r="I737" s="15">
        <f>(H737/D$5)^E$5</f>
        <v>0.11516869637804684</v>
      </c>
      <c r="J737" s="15">
        <f>(G737/D$5)^E$5</f>
        <v>0</v>
      </c>
      <c r="K737" s="29">
        <f>1-EXP(J737-I737)</f>
        <v>0.10878421365041502</v>
      </c>
      <c r="L737" s="51">
        <f>B$6*(1-AE737*C$6)</f>
        <v>0</v>
      </c>
      <c r="M737" s="52">
        <f>L737+E737</f>
        <v>69.666666666666671</v>
      </c>
      <c r="N737" s="17">
        <f>(M737/D$6)^E$6</f>
        <v>8.7861714115895329E-2</v>
      </c>
      <c r="O737" s="17">
        <f>(L737/D$6)^E$6</f>
        <v>0</v>
      </c>
      <c r="P737" s="32">
        <f>1-EXP(O737-N737)</f>
        <v>8.4112477717763534E-2</v>
      </c>
      <c r="Q737" s="53">
        <f>B$7*(1-AF737*C$7)</f>
        <v>0</v>
      </c>
      <c r="R737" s="54">
        <f>Q737+E737</f>
        <v>69.666666666666671</v>
      </c>
      <c r="S737" s="16">
        <f>(R737/D$7)^E$7</f>
        <v>0.17421448251746105</v>
      </c>
      <c r="T737" s="16">
        <f>(Q737/D$7)^E$7</f>
        <v>0</v>
      </c>
      <c r="U737" s="35">
        <f>1-EXP(T737-S737)</f>
        <v>0.15988331200899064</v>
      </c>
      <c r="V737" s="55">
        <f>B$8*(1-AG737*C$8)</f>
        <v>0</v>
      </c>
      <c r="W737" s="56">
        <f>V737+E737</f>
        <v>69.666666666666671</v>
      </c>
      <c r="X737" s="18">
        <f>(W737/D$8)^E$8</f>
        <v>8.9674731846197935E-3</v>
      </c>
      <c r="Y737" s="18">
        <f>(V737/D$8)^E$8</f>
        <v>0</v>
      </c>
      <c r="Z737" s="38">
        <f>1-EXP(Y737-X737)</f>
        <v>8.9273853154187011E-3</v>
      </c>
      <c r="AA737" s="41">
        <f>K737*P737*U737*Z737</f>
        <v>1.3060317021926209E-5</v>
      </c>
      <c r="AB737" s="42">
        <f>1-AA737</f>
        <v>0.99998693968297803</v>
      </c>
      <c r="AC737" s="47">
        <f>(AD737*F$5+AE737*F$6+AF737*F$7+AG737*F$8)+E737</f>
        <v>69.666666666666671</v>
      </c>
      <c r="AD737" s="43">
        <v>0</v>
      </c>
      <c r="AE737" s="1">
        <v>0</v>
      </c>
      <c r="AF737" s="1">
        <v>0</v>
      </c>
      <c r="AG737" s="1">
        <v>0</v>
      </c>
      <c r="AH737" s="74">
        <v>85</v>
      </c>
    </row>
    <row r="738" spans="1:34" x14ac:dyDescent="0.25">
      <c r="A738" s="76">
        <v>1</v>
      </c>
      <c r="B738" s="58">
        <v>6</v>
      </c>
      <c r="C738" s="9">
        <v>500</v>
      </c>
      <c r="D738" s="58">
        <v>5</v>
      </c>
      <c r="E738" s="48">
        <f t="shared" ref="E738:E740" si="77">B738*C738/60+D738</f>
        <v>55</v>
      </c>
      <c r="F738" s="100">
        <v>106</v>
      </c>
      <c r="G738" s="49">
        <f>H737*(1-AD738*C$5)</f>
        <v>69.666666666666671</v>
      </c>
      <c r="H738" s="50">
        <f>G738+E738</f>
        <v>124.66666666666667</v>
      </c>
      <c r="I738" s="15">
        <f>(H738/D$5)^E$5</f>
        <v>0.31517317577772647</v>
      </c>
      <c r="J738" s="15">
        <f>(G738/D$5)^E$5</f>
        <v>0.11516869637804684</v>
      </c>
      <c r="K738" s="29">
        <f>1-EXP(J738-I738)</f>
        <v>0.18127291433607728</v>
      </c>
      <c r="L738" s="51">
        <f>M737*(1-AE738*C$6)</f>
        <v>69.666666666666671</v>
      </c>
      <c r="M738" s="52">
        <f>L738+E738</f>
        <v>124.66666666666667</v>
      </c>
      <c r="N738" s="17">
        <f>(M738/D$6)^E$6</f>
        <v>0.26237549202961352</v>
      </c>
      <c r="O738" s="17">
        <f>(L738/D$6)^E$6</f>
        <v>8.7861714115895329E-2</v>
      </c>
      <c r="P738" s="32">
        <f>1-EXP(O738-N738)</f>
        <v>0.16013471744190411</v>
      </c>
      <c r="Q738" s="53">
        <f>R737*(1-AF738*C$7)</f>
        <v>48.766666666666666</v>
      </c>
      <c r="R738" s="54">
        <f>Q738+E738</f>
        <v>103.76666666666667</v>
      </c>
      <c r="S738" s="16">
        <f>(R738/D$7)^E$7</f>
        <v>0.45872672582468715</v>
      </c>
      <c r="T738" s="16">
        <f>(Q738/D$7)^E$7</f>
        <v>7.3227210826217928E-2</v>
      </c>
      <c r="U738" s="35">
        <f>1-EXP(T738-S738)</f>
        <v>0.31988917421664786</v>
      </c>
      <c r="V738" s="55">
        <f>W737*(1-AG738*C$8)</f>
        <v>69.666666666666671</v>
      </c>
      <c r="W738" s="56">
        <f>V738+E738</f>
        <v>124.66666666666667</v>
      </c>
      <c r="X738" s="18">
        <f>(W738/D$8)^E$8</f>
        <v>3.9089951931753103E-2</v>
      </c>
      <c r="Y738" s="18">
        <f>(V738/D$8)^E$8</f>
        <v>8.9674731846197935E-3</v>
      </c>
      <c r="Z738" s="38">
        <f>1-EXP(Y738-X738)</f>
        <v>2.967331812605134E-2</v>
      </c>
      <c r="AA738" s="41">
        <f>K738*P738*U738*Z738</f>
        <v>2.7553962959915151E-4</v>
      </c>
      <c r="AB738" s="42">
        <f>1-AA738</f>
        <v>0.99972446037040086</v>
      </c>
      <c r="AC738" s="47">
        <f>AF738*F$7+E738+AC737</f>
        <v>132.66666666666669</v>
      </c>
      <c r="AD738" s="43">
        <v>0</v>
      </c>
      <c r="AE738" s="1">
        <v>0</v>
      </c>
      <c r="AF738" s="1">
        <v>1</v>
      </c>
      <c r="AG738" s="1">
        <v>0</v>
      </c>
      <c r="AH738" s="74">
        <v>110</v>
      </c>
    </row>
    <row r="739" spans="1:34" x14ac:dyDescent="0.25">
      <c r="A739" s="24">
        <v>3</v>
      </c>
      <c r="B739" s="9">
        <v>5</v>
      </c>
      <c r="C739" s="58">
        <v>500</v>
      </c>
      <c r="D739" s="58">
        <v>4</v>
      </c>
      <c r="E739" s="48">
        <f t="shared" si="77"/>
        <v>45.666666666666664</v>
      </c>
      <c r="F739" s="100">
        <v>95</v>
      </c>
      <c r="G739" s="68">
        <f>H738*(1-AD739*C$5)</f>
        <v>87.266666666666666</v>
      </c>
      <c r="H739" s="69">
        <f>G739+E739</f>
        <v>132.93333333333334</v>
      </c>
      <c r="I739" s="70">
        <f>(H739/D$5)^E$5</f>
        <v>0.35219872941851332</v>
      </c>
      <c r="J739" s="70">
        <f>(G739/D$5)^E$5</f>
        <v>0.17004695403506842</v>
      </c>
      <c r="K739" s="29">
        <f>1-EXP(J739-I739)</f>
        <v>0.16652517014650903</v>
      </c>
      <c r="L739" s="51">
        <f>M738*(1-AE739*C$6)</f>
        <v>87.266666666666666</v>
      </c>
      <c r="M739" s="52">
        <f>L739+E739</f>
        <v>132.93333333333334</v>
      </c>
      <c r="N739" s="17">
        <f>(M739/D$6)^E$6</f>
        <v>0.29603586895842493</v>
      </c>
      <c r="O739" s="17">
        <f>(L739/D$6)^E$6</f>
        <v>0.13418611561976262</v>
      </c>
      <c r="P739" s="32">
        <f>1-EXP(O739-N739)</f>
        <v>0.14943100990868496</v>
      </c>
      <c r="Q739" s="53">
        <f>R738*(1-AF739*C$7)</f>
        <v>72.636666666666656</v>
      </c>
      <c r="R739" s="54">
        <f>Q739+E739</f>
        <v>118.30333333333331</v>
      </c>
      <c r="S739" s="16">
        <f>(R739/D$7)^E$7</f>
        <v>0.63083545503501759</v>
      </c>
      <c r="T739" s="16">
        <f>(Q739/D$7)^E$7</f>
        <v>0.1928156498712342</v>
      </c>
      <c r="U739" s="35">
        <f>1-EXP(T739-S739)</f>
        <v>0.35468699779896662</v>
      </c>
      <c r="V739" s="55">
        <f>W738*(1-AG739*C$8)</f>
        <v>124.66666666666667</v>
      </c>
      <c r="W739" s="56">
        <f>V739+E739</f>
        <v>170.33333333333334</v>
      </c>
      <c r="X739" s="18">
        <f>(W739/D$8)^E$8</f>
        <v>8.6100338756432887E-2</v>
      </c>
      <c r="Y739" s="18">
        <f>(V739/D$8)^E$8</f>
        <v>3.9089951931753103E-2</v>
      </c>
      <c r="Z739" s="38">
        <f>1-EXP(Y739-X739)</f>
        <v>4.5922512296690643E-2</v>
      </c>
      <c r="AA739" s="41">
        <f>K739*P739*U739*Z739</f>
        <v>4.0531392537647583E-4</v>
      </c>
      <c r="AB739" s="42">
        <f>1-AA739</f>
        <v>0.99959468607462354</v>
      </c>
      <c r="AC739" s="47">
        <f>(AF739*F$7)+E739+AC738</f>
        <v>186.33333333333334</v>
      </c>
      <c r="AD739" s="77">
        <v>1</v>
      </c>
      <c r="AE739" s="78">
        <v>1</v>
      </c>
      <c r="AF739" s="78">
        <v>1</v>
      </c>
      <c r="AG739" s="78">
        <v>0</v>
      </c>
      <c r="AH739" s="74">
        <v>67</v>
      </c>
    </row>
    <row r="740" spans="1:34" ht="15.75" thickBot="1" x14ac:dyDescent="0.3">
      <c r="A740" s="57">
        <v>2</v>
      </c>
      <c r="B740" s="58">
        <v>9</v>
      </c>
      <c r="C740" s="58">
        <v>500</v>
      </c>
      <c r="D740" s="9">
        <v>2</v>
      </c>
      <c r="E740" s="48">
        <f t="shared" si="77"/>
        <v>77</v>
      </c>
      <c r="F740" s="100">
        <v>76</v>
      </c>
      <c r="G740" s="68">
        <f>H739*(1-AD740*C$5)</f>
        <v>93.053333333333327</v>
      </c>
      <c r="H740" s="69">
        <f>G740+E740</f>
        <v>170.05333333333334</v>
      </c>
      <c r="I740" s="70">
        <f>(H740/D$5)^E$5</f>
        <v>0.5392789330539719</v>
      </c>
      <c r="J740" s="70">
        <f>(G740/D$5)^E$5</f>
        <v>0.19002353548918979</v>
      </c>
      <c r="K740" s="29">
        <f>1-EXP(J740-I740)</f>
        <v>0.294787002414027</v>
      </c>
      <c r="L740" s="51">
        <f>M739*(1-AE740*C$6)</f>
        <v>93.053333333333327</v>
      </c>
      <c r="M740" s="52">
        <f>L740+E740</f>
        <v>170.05333333333334</v>
      </c>
      <c r="N740" s="17">
        <f>(M740/D$6)^E$6</f>
        <v>0.47034084314905283</v>
      </c>
      <c r="O740" s="17">
        <f>(L740/D$6)^E$6</f>
        <v>0.15140096749268256</v>
      </c>
      <c r="P740" s="32">
        <f>1-EXP(O740-N740)</f>
        <v>0.27308074646452829</v>
      </c>
      <c r="Q740" s="53">
        <f>R739*(1-AF740*C$7)</f>
        <v>82.812333333333314</v>
      </c>
      <c r="R740" s="54">
        <f>Q740+E740</f>
        <v>159.8123333333333</v>
      </c>
      <c r="S740" s="16">
        <f>(R740/D$7)^E$7</f>
        <v>1.3101060120427048</v>
      </c>
      <c r="T740" s="16">
        <f>(Q740/D$7)^E$7</f>
        <v>0.26515775379278483</v>
      </c>
      <c r="U740" s="35">
        <f>1-EXP(T740-S740)</f>
        <v>0.64828998300092533</v>
      </c>
      <c r="V740" s="55">
        <f>W739*(1-AG740*C$8)</f>
        <v>119.23333333333333</v>
      </c>
      <c r="W740" s="56">
        <f>V740+E740</f>
        <v>196.23333333333335</v>
      </c>
      <c r="X740" s="18">
        <f>(W740/D$8)^E$8</f>
        <v>0.12317764407834959</v>
      </c>
      <c r="Y740" s="18">
        <f>(V740/D$8)^E$8</f>
        <v>3.4922305031534845E-2</v>
      </c>
      <c r="Z740" s="38">
        <f>1-EXP(Y740-X740)</f>
        <v>8.4472922935685868E-2</v>
      </c>
      <c r="AA740" s="41">
        <f>K740*P740*U740*Z740</f>
        <v>4.4084533083186021E-3</v>
      </c>
      <c r="AB740" s="42">
        <f>1-AA740</f>
        <v>0.99559154669168137</v>
      </c>
      <c r="AC740" s="47">
        <f>(AF740*F$7)+E740+AC739</f>
        <v>271.33333333333337</v>
      </c>
      <c r="AD740" s="80">
        <v>1</v>
      </c>
      <c r="AE740" s="45">
        <v>1</v>
      </c>
      <c r="AF740" s="81">
        <v>1</v>
      </c>
      <c r="AG740" s="45">
        <v>1</v>
      </c>
      <c r="AH740" s="94">
        <v>40</v>
      </c>
    </row>
    <row r="741" spans="1:34" ht="18.75" x14ac:dyDescent="0.3">
      <c r="A741" s="132" t="s">
        <v>53</v>
      </c>
      <c r="B741" s="132"/>
      <c r="C741" s="132"/>
      <c r="D741" s="132"/>
      <c r="E741" s="132"/>
      <c r="F741" s="132"/>
      <c r="G741" s="132"/>
      <c r="H741" s="132"/>
      <c r="I741" s="132"/>
      <c r="J741" s="132"/>
      <c r="AG741" s="46"/>
    </row>
    <row r="742" spans="1:34" ht="15.75" x14ac:dyDescent="0.25">
      <c r="A742" s="19" t="s">
        <v>82</v>
      </c>
      <c r="B742" s="60" t="s">
        <v>49</v>
      </c>
      <c r="C742" s="61" t="s">
        <v>50</v>
      </c>
      <c r="D742" s="19" t="s">
        <v>58</v>
      </c>
      <c r="E742" s="60" t="s">
        <v>57</v>
      </c>
      <c r="F742" s="61" t="s">
        <v>50</v>
      </c>
      <c r="G742" s="19" t="s">
        <v>54</v>
      </c>
      <c r="H742" s="60" t="s">
        <v>61</v>
      </c>
      <c r="I742" s="61" t="s">
        <v>50</v>
      </c>
      <c r="J742" s="19" t="s">
        <v>48</v>
      </c>
      <c r="K742" s="83" t="s">
        <v>84</v>
      </c>
      <c r="L742" s="61" t="s">
        <v>50</v>
      </c>
      <c r="M742" s="61" t="s">
        <v>85</v>
      </c>
      <c r="O742" s="174" t="s">
        <v>64</v>
      </c>
      <c r="P742" s="174"/>
      <c r="Q742" s="175" t="s">
        <v>109</v>
      </c>
      <c r="R742" s="175"/>
    </row>
    <row r="743" spans="1:34" ht="24.75" x14ac:dyDescent="0.25">
      <c r="A743" s="61" t="s">
        <v>51</v>
      </c>
      <c r="B743" s="1">
        <f>AA737</f>
        <v>1.3060317021926209E-5</v>
      </c>
      <c r="C743" s="59">
        <f>MAX(AC737+1*L730-F737,0)</f>
        <v>0</v>
      </c>
      <c r="D743" s="62" t="s">
        <v>55</v>
      </c>
      <c r="E743" s="1">
        <f>AA737*AA738</f>
        <v>3.598634914669041E-9</v>
      </c>
      <c r="F743" s="1">
        <f>MAX(AC738+2*L730-F738,0)</f>
        <v>50.666666666666686</v>
      </c>
      <c r="G743" s="62" t="s">
        <v>59</v>
      </c>
      <c r="H743" s="1">
        <f>AA737*AA738*AA739</f>
        <v>1.4585768432613481E-12</v>
      </c>
      <c r="I743" s="1">
        <f>AC739+3*L730-F739</f>
        <v>127.33333333333334</v>
      </c>
      <c r="J743" s="62" t="s">
        <v>83</v>
      </c>
      <c r="K743" s="1">
        <f>AA737*AA738*AA739*AA740</f>
        <v>6.4300679101123933E-15</v>
      </c>
      <c r="L743" s="1">
        <f>AC740+4*L730-F740</f>
        <v>243.33333333333337</v>
      </c>
      <c r="M743" s="1">
        <f>B743*C743*AH737+E743*F743*AH738+H743*I743*AH739+K743*L743*AH740</f>
        <v>2.0068898115658603E-5</v>
      </c>
      <c r="O743" s="1" t="s">
        <v>27</v>
      </c>
      <c r="P743" s="1">
        <f>2*H728</f>
        <v>3640</v>
      </c>
      <c r="Q743" s="1">
        <f>(K737*(1-P737)*(1-U737)*(1-Z737))+(P737*(1-K737)*(1-U737)*(1-Z737))+(U737*(1-K737)*(1-P737)*(1-Z737))+(Z737*(1-K737)*(1-P737)*(1-U737))</f>
        <v>0.28083409477630866</v>
      </c>
      <c r="R743" s="1">
        <f>Q743*(L$7*(J$5*K$5+L$5)+I$5)</f>
        <v>9897.9976703909997</v>
      </c>
    </row>
    <row r="744" spans="1:34" ht="24.75" x14ac:dyDescent="0.25">
      <c r="A744" s="62" t="s">
        <v>52</v>
      </c>
      <c r="B744" s="1">
        <f>AB737</f>
        <v>0.99998693968297803</v>
      </c>
      <c r="C744" s="59">
        <f>MAX(AC737-F737,0)</f>
        <v>0</v>
      </c>
      <c r="D744" s="62" t="s">
        <v>56</v>
      </c>
      <c r="E744" s="1">
        <f>AA737*AB738+AA738*AB737</f>
        <v>2.8859274935124837E-4</v>
      </c>
      <c r="F744" s="1">
        <f>MAX(AC738+1*L730-F738,0)</f>
        <v>38.666666666666686</v>
      </c>
      <c r="G744" s="62" t="s">
        <v>60</v>
      </c>
      <c r="H744" s="1">
        <f>AA737*AA738*AB739+AA738*AA739*AB737+AA737*AA739*AB738</f>
        <v>1.2056783641256967E-7</v>
      </c>
      <c r="I744" s="1">
        <f>AC739+2*L730-F739</f>
        <v>115.33333333333334</v>
      </c>
      <c r="J744" s="62" t="s">
        <v>59</v>
      </c>
      <c r="K744">
        <f>AB737*AA738*AA739*AA740+AB738*AA737*AA739*AA740*+AB739*AA737*AA738*AA740+AB740*AA737*AA738*AA739</f>
        <v>4.9378199762023647E-10</v>
      </c>
      <c r="L744" s="1">
        <f>AC740+3*L730-F740</f>
        <v>231.33333333333337</v>
      </c>
      <c r="M744" s="1">
        <f>B744*C744*AH737+E744*F744*AH738+H744*I744*AH739+K744*L744*AH740</f>
        <v>1.2284173975646338</v>
      </c>
      <c r="O744" s="1" t="s">
        <v>28</v>
      </c>
      <c r="P744" s="1">
        <f>2*H729</f>
        <v>5440</v>
      </c>
      <c r="Q744" s="1">
        <f t="shared" ref="Q744:Q746" si="78">(K738*(1-P738)*(1-U738)*(1-Z738))+(P738*(1-K738)*(1-U738)*(1-Z738))+(U738*(1-K738)*(1-P738)*(1-Z738))+(Z738*(1-K738)*(1-P738)*(1-U738))</f>
        <v>0.41430433234896186</v>
      </c>
      <c r="R744" s="1">
        <f t="shared" ref="R744:R746" si="79">Q744*(L$7*(J$5*K$5+L$5)+I$5)</f>
        <v>14602.156193639161</v>
      </c>
    </row>
    <row r="745" spans="1:34" ht="24.75" x14ac:dyDescent="0.25">
      <c r="A745" s="1"/>
      <c r="B745" s="1"/>
      <c r="C745" s="1"/>
      <c r="D745" s="62" t="s">
        <v>52</v>
      </c>
      <c r="E745" s="1">
        <f>AB737*AB738</f>
        <v>0.99971140365201383</v>
      </c>
      <c r="F745" s="59">
        <f>MAX(AC738-F738,0)</f>
        <v>26.666666666666686</v>
      </c>
      <c r="G745" s="62" t="s">
        <v>56</v>
      </c>
      <c r="H745" s="1">
        <f>AA737*AB738*AB739+AA738*AB737*AB739*+AA739*AB737*AB738</f>
        <v>1.3163027425664496E-5</v>
      </c>
      <c r="I745" s="1">
        <f>AC739+1*L730-F739</f>
        <v>103.33333333333334</v>
      </c>
      <c r="J745" s="62" t="s">
        <v>60</v>
      </c>
      <c r="K745" s="1">
        <f>AA737*AA738*AB739*AB740 + AA737*AA739*AB738*AB740 + AA737*AA740*AB738*AB739 + AA738*AA739*AB737*AB740 + AA738*AA740*AB737*AB739 + AA739*AA740*AB737*AB738</f>
        <v>3.1780601687862224E-6</v>
      </c>
      <c r="L745" s="1">
        <f>AC740+2*L730-F740</f>
        <v>219.33333333333337</v>
      </c>
      <c r="M745" s="1">
        <f>B745*C745*AH737+E745*F745*AH738+H745*I745*AH739+K745*L745*AH740</f>
        <v>2932.6057982536668</v>
      </c>
      <c r="O745" s="1" t="s">
        <v>29</v>
      </c>
      <c r="P745" s="1">
        <f>3*(F730*(J728*K728+L728)+H730)</f>
        <v>42300</v>
      </c>
      <c r="Q745" s="1">
        <f t="shared" si="78"/>
        <v>0.42479537376602389</v>
      </c>
      <c r="R745" s="1">
        <f t="shared" si="79"/>
        <v>14971.912948383511</v>
      </c>
    </row>
    <row r="746" spans="1:34" ht="24.75" x14ac:dyDescent="0.25">
      <c r="A746" s="1"/>
      <c r="B746" s="1"/>
      <c r="C746" s="1"/>
      <c r="D746" s="1"/>
      <c r="E746" s="1"/>
      <c r="F746" s="1"/>
      <c r="G746" s="62" t="s">
        <v>52</v>
      </c>
      <c r="H746" s="1">
        <f>AB737*AB738*AB739</f>
        <v>0.99930620669875603</v>
      </c>
      <c r="I746" s="63">
        <f>AC739-F739</f>
        <v>91.333333333333343</v>
      </c>
      <c r="J746" s="62" t="s">
        <v>56</v>
      </c>
      <c r="K746" s="1">
        <f>AA737*AB738*AB739*AB740+AA738*AB737*AB739*AB740+AA739*AB737*AB738*AB740+AA740*AB737*AB738*AB739</f>
        <v>5.0960094610433904E-3</v>
      </c>
      <c r="L746" s="1">
        <f>AC740+1*L730-F740</f>
        <v>207.33333333333337</v>
      </c>
      <c r="M746" s="1">
        <f>B746*C746*AH737+E746*F746*AH738+H746*I746*AH739+K746*L746*AH740</f>
        <v>6157.3506859888421</v>
      </c>
      <c r="O746" s="1" t="s">
        <v>30</v>
      </c>
      <c r="P746" s="1">
        <f>1*H731</f>
        <v>4320</v>
      </c>
      <c r="Q746" s="1">
        <f t="shared" si="78"/>
        <v>0.45050280894918004</v>
      </c>
      <c r="R746" s="1">
        <f t="shared" si="79"/>
        <v>15877.971501413851</v>
      </c>
    </row>
    <row r="747" spans="1:34" ht="30" x14ac:dyDescent="0.25">
      <c r="I747" s="84"/>
      <c r="J747" s="62" t="s">
        <v>52</v>
      </c>
      <c r="K747" s="85">
        <f>AB737*AB738*AB739*AB740</f>
        <v>0.99490081194581159</v>
      </c>
      <c r="L747" s="1">
        <f>AC740+0*L730-F740</f>
        <v>195.33333333333337</v>
      </c>
      <c r="M747" s="1">
        <f>B747*C747*AH737+E747*F747*AH738+H747*I747*AH739+K747*L747*AH740</f>
        <v>7773.4916773366094</v>
      </c>
      <c r="O747" s="64" t="s">
        <v>65</v>
      </c>
      <c r="P747" s="65">
        <f>SUM(P743:P746)</f>
        <v>55700</v>
      </c>
      <c r="Q747" s="96" t="s">
        <v>108</v>
      </c>
      <c r="R747" s="97">
        <f>SUM(R743:R746)</f>
        <v>55350.038313827521</v>
      </c>
    </row>
    <row r="748" spans="1:34" x14ac:dyDescent="0.25">
      <c r="L748" s="176" t="s">
        <v>63</v>
      </c>
      <c r="M748" s="177">
        <f>SUM(M743:M747)</f>
        <v>16864.676599045582</v>
      </c>
    </row>
    <row r="749" spans="1:34" x14ac:dyDescent="0.25">
      <c r="L749" s="176"/>
      <c r="M749" s="177"/>
    </row>
    <row r="750" spans="1:34" x14ac:dyDescent="0.25">
      <c r="A750" s="178" t="s">
        <v>90</v>
      </c>
      <c r="B750" s="178"/>
      <c r="C750" s="178"/>
      <c r="D750" s="178"/>
      <c r="E750" s="178"/>
      <c r="F750" s="178"/>
      <c r="G750" s="178"/>
      <c r="H750" s="178"/>
      <c r="I750" s="178"/>
      <c r="J750" s="178"/>
      <c r="K750" s="178"/>
      <c r="L750" s="178"/>
      <c r="M750" s="178"/>
      <c r="N750" s="178"/>
    </row>
    <row r="751" spans="1:34" ht="15.75" x14ac:dyDescent="0.25">
      <c r="A751" s="87" t="s">
        <v>86</v>
      </c>
      <c r="B751" s="62" t="s">
        <v>49</v>
      </c>
      <c r="C751" s="90" t="s">
        <v>103</v>
      </c>
      <c r="D751" s="62" t="s">
        <v>88</v>
      </c>
      <c r="E751" s="87" t="s">
        <v>77</v>
      </c>
      <c r="F751" s="62" t="s">
        <v>57</v>
      </c>
      <c r="G751" s="90" t="s">
        <v>78</v>
      </c>
      <c r="H751" s="62" t="s">
        <v>88</v>
      </c>
      <c r="I751" s="87" t="s">
        <v>76</v>
      </c>
      <c r="J751" s="62" t="s">
        <v>61</v>
      </c>
      <c r="K751" s="90" t="s">
        <v>87</v>
      </c>
      <c r="L751" s="62" t="s">
        <v>88</v>
      </c>
      <c r="M751" s="87" t="s">
        <v>75</v>
      </c>
      <c r="N751" s="62" t="s">
        <v>84</v>
      </c>
      <c r="O751" s="90" t="s">
        <v>102</v>
      </c>
      <c r="P751" s="62" t="s">
        <v>88</v>
      </c>
    </row>
    <row r="752" spans="1:34" ht="24.75" x14ac:dyDescent="0.25">
      <c r="A752" s="62" t="s">
        <v>51</v>
      </c>
      <c r="B752" s="86">
        <v>1.3060317021926209E-5</v>
      </c>
      <c r="C752" s="86">
        <f>AC737+1*L730</f>
        <v>81.666666666666671</v>
      </c>
      <c r="D752" s="86">
        <f>MAX(B752*1.5*((C752-F737)*500/2),0)</f>
        <v>0</v>
      </c>
      <c r="E752" s="62" t="s">
        <v>55</v>
      </c>
      <c r="F752" s="86">
        <v>3.598634914669041E-9</v>
      </c>
      <c r="G752" s="86">
        <f>AC738+2*L730</f>
        <v>156.66666666666669</v>
      </c>
      <c r="H752" s="86">
        <f>F752*1.5*((G752-F738)*500/2+(G752-F739)*500+(G752-F740)*500)</f>
        <v>4.5252834051963202E-4</v>
      </c>
      <c r="I752" s="62" t="s">
        <v>59</v>
      </c>
      <c r="J752" s="86">
        <v>1.4585768432613481E-12</v>
      </c>
      <c r="K752" s="86">
        <f>AC739+3*L730</f>
        <v>222.33333333333334</v>
      </c>
      <c r="L752" s="86">
        <f>J752*1.5*((K752-G752)*500/2+(K752-G752)*500)</f>
        <v>1.0775236429593208E-7</v>
      </c>
      <c r="M752" s="62" t="s">
        <v>83</v>
      </c>
      <c r="N752" s="86">
        <v>6.4300679101123933E-15</v>
      </c>
      <c r="O752" s="86">
        <f>AC740+4*L730</f>
        <v>319.33333333333337</v>
      </c>
      <c r="P752" s="86">
        <f>N752*1.5*((O752-K752)*500/2)</f>
        <v>2.338937202303384E-10</v>
      </c>
    </row>
    <row r="753" spans="1:22" ht="24.75" x14ac:dyDescent="0.25">
      <c r="A753" s="62" t="s">
        <v>52</v>
      </c>
      <c r="B753" s="86">
        <v>0.99998693968297803</v>
      </c>
      <c r="C753" s="88">
        <f>AC737</f>
        <v>69.666666666666671</v>
      </c>
      <c r="D753" s="86">
        <f>MAX(B753*1.5*((C753-F737)*500/2),0)</f>
        <v>0</v>
      </c>
      <c r="E753" s="62" t="s">
        <v>56</v>
      </c>
      <c r="F753" s="86">
        <v>2.8859274935124837E-4</v>
      </c>
      <c r="G753" s="86">
        <f>AC738+1*L730</f>
        <v>144.66666666666669</v>
      </c>
      <c r="H753" s="86">
        <f>F753*1.5*((G753-F738)*500/2+(G753-F739)*500+(G753-F740)*500)</f>
        <v>29.797201370516404</v>
      </c>
      <c r="I753" s="62" t="s">
        <v>60</v>
      </c>
      <c r="J753" s="86">
        <v>1.2056783641256967E-7</v>
      </c>
      <c r="K753" s="86">
        <f>AC739+2*L730</f>
        <v>210.33333333333334</v>
      </c>
      <c r="L753" s="86">
        <f>J753*1.5*((K753-G753)*500/2+(K753-G753)*500)</f>
        <v>8.9069489149785821E-3</v>
      </c>
      <c r="M753" s="62" t="s">
        <v>59</v>
      </c>
      <c r="N753" s="86">
        <v>4.9378199762023647E-10</v>
      </c>
      <c r="O753" s="86">
        <f>AC740+3*L730</f>
        <v>307.33333333333337</v>
      </c>
      <c r="P753" s="86">
        <f>N753*1.5*((O753-K753)*500/2)</f>
        <v>1.7961320163436107E-5</v>
      </c>
    </row>
    <row r="754" spans="1:22" x14ac:dyDescent="0.25">
      <c r="A754" s="86"/>
      <c r="B754" s="86"/>
      <c r="C754" s="89" t="s">
        <v>89</v>
      </c>
      <c r="D754" s="89">
        <f>SUM(D752:D753)</f>
        <v>0</v>
      </c>
      <c r="E754" s="62" t="s">
        <v>52</v>
      </c>
      <c r="F754" s="86">
        <v>0.99971140365201383</v>
      </c>
      <c r="G754" s="86">
        <f>AC738+0*L730</f>
        <v>132.66666666666669</v>
      </c>
      <c r="H754" s="86">
        <f>F754*1.5*((G754-F738)*500/2+(G754-F739)*500+(G754-F740)*500)</f>
        <v>80726.695844900154</v>
      </c>
      <c r="I754" s="62" t="s">
        <v>56</v>
      </c>
      <c r="J754" s="86">
        <v>1.3163027425664496E-5</v>
      </c>
      <c r="K754" s="86">
        <f>AC739+1*L730</f>
        <v>198.33333333333334</v>
      </c>
      <c r="L754" s="86">
        <f>J754*1.5*((K754-G754)*500/2+(K754-G754)*500)</f>
        <v>0.97241865107096448</v>
      </c>
      <c r="M754" s="62" t="s">
        <v>60</v>
      </c>
      <c r="N754" s="86">
        <v>3.1780601687862224E-6</v>
      </c>
      <c r="O754" s="86">
        <f>AC740+2*L730</f>
        <v>295.33333333333337</v>
      </c>
      <c r="P754" s="86">
        <f>N754*1.5*((O754-K754)*500/2)</f>
        <v>0.11560193863959888</v>
      </c>
    </row>
    <row r="755" spans="1:22" x14ac:dyDescent="0.25">
      <c r="A755" s="86"/>
      <c r="B755" s="86"/>
      <c r="C755" s="86"/>
      <c r="D755" s="86"/>
      <c r="E755" s="86"/>
      <c r="F755" s="86"/>
      <c r="G755" s="89" t="s">
        <v>79</v>
      </c>
      <c r="H755" s="89">
        <f>SUM(H752:H754)</f>
        <v>80756.493498799013</v>
      </c>
      <c r="I755" s="62" t="s">
        <v>52</v>
      </c>
      <c r="J755" s="86">
        <v>0.99930620669875603</v>
      </c>
      <c r="K755" s="86">
        <f>AC739+0*L730</f>
        <v>186.33333333333334</v>
      </c>
      <c r="L755" s="86">
        <f>J755*1.5*((K755-G754)*500/2+(K755-G754)*500)</f>
        <v>60333.112229437385</v>
      </c>
      <c r="M755" s="62" t="s">
        <v>56</v>
      </c>
      <c r="N755" s="86">
        <v>5.0960094610433904E-3</v>
      </c>
      <c r="O755" s="86">
        <f>AC740+1*L730</f>
        <v>283.33333333333337</v>
      </c>
      <c r="P755" s="86">
        <f>N755*1.5*((O755-K755)*500/2)</f>
        <v>185.36734414545339</v>
      </c>
    </row>
    <row r="756" spans="1:22" x14ac:dyDescent="0.25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9" t="s">
        <v>79</v>
      </c>
      <c r="L756" s="89">
        <f>SUM(L752:L755)</f>
        <v>60334.093555145126</v>
      </c>
      <c r="M756" s="62" t="s">
        <v>52</v>
      </c>
      <c r="N756" s="86">
        <v>0.99490081194581159</v>
      </c>
      <c r="O756" s="86">
        <f>AC740+0*L730</f>
        <v>271.33333333333337</v>
      </c>
      <c r="P756" s="86">
        <f>N756*1.5*((O756-K755)*500/2)</f>
        <v>31712.463380772759</v>
      </c>
      <c r="Q756" s="179" t="s">
        <v>80</v>
      </c>
      <c r="R756" s="179"/>
      <c r="S756" s="180">
        <f>D754+H755+L756+P757</f>
        <v>172988.53339876252</v>
      </c>
      <c r="T756" s="180"/>
    </row>
    <row r="757" spans="1:22" x14ac:dyDescent="0.25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9" t="s">
        <v>79</v>
      </c>
      <c r="P757" s="89">
        <f>SUM(P752:P756)</f>
        <v>31897.946344818407</v>
      </c>
      <c r="Q757" s="179"/>
      <c r="R757" s="179"/>
      <c r="S757" s="180"/>
      <c r="T757" s="180"/>
    </row>
    <row r="758" spans="1:22" x14ac:dyDescent="0.25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</row>
    <row r="759" spans="1:22" x14ac:dyDescent="0.25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</row>
    <row r="760" spans="1:22" x14ac:dyDescent="0.25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</row>
    <row r="761" spans="1:22" ht="24.75" thickBot="1" x14ac:dyDescent="0.3">
      <c r="O761" s="131" t="s">
        <v>81</v>
      </c>
      <c r="P761" s="131"/>
      <c r="Q761" s="131">
        <f>(R747+P747+M748+S756)/AC740</f>
        <v>1108.9800306325635</v>
      </c>
      <c r="R761" s="131"/>
    </row>
    <row r="762" spans="1:22" x14ac:dyDescent="0.25">
      <c r="A762" s="181" t="s">
        <v>125</v>
      </c>
      <c r="B762" s="182"/>
    </row>
    <row r="763" spans="1:22" ht="15.75" thickBot="1" x14ac:dyDescent="0.3">
      <c r="A763" s="183"/>
      <c r="B763" s="184"/>
    </row>
    <row r="764" spans="1:22" ht="21" x14ac:dyDescent="0.35">
      <c r="A764" s="185" t="s">
        <v>14</v>
      </c>
      <c r="B764" s="185"/>
      <c r="C764" s="165"/>
      <c r="D764" s="165"/>
      <c r="E764" s="165"/>
      <c r="F764" s="165"/>
      <c r="G764" s="165"/>
      <c r="H764" s="165"/>
      <c r="I764" s="165"/>
      <c r="J764" s="165"/>
      <c r="K764" s="165"/>
      <c r="L764" s="165"/>
      <c r="M764" s="165"/>
      <c r="O764" s="166" t="s">
        <v>72</v>
      </c>
      <c r="P764" s="166"/>
      <c r="Q764" s="166"/>
      <c r="R764" s="166"/>
      <c r="S764" s="166"/>
      <c r="T764" s="166"/>
      <c r="U764" s="166"/>
      <c r="V764" s="166"/>
    </row>
    <row r="765" spans="1:22" ht="36" x14ac:dyDescent="0.25">
      <c r="A765" s="4" t="s">
        <v>15</v>
      </c>
      <c r="B765" s="4" t="s">
        <v>16</v>
      </c>
      <c r="C765" s="4" t="s">
        <v>31</v>
      </c>
      <c r="D765" s="6" t="s">
        <v>17</v>
      </c>
      <c r="E765" s="6" t="s">
        <v>18</v>
      </c>
      <c r="F765" s="6" t="s">
        <v>19</v>
      </c>
      <c r="G765" s="6" t="s">
        <v>20</v>
      </c>
      <c r="H765" s="6" t="s">
        <v>21</v>
      </c>
      <c r="I765" s="6" t="s">
        <v>22</v>
      </c>
      <c r="J765" s="6" t="s">
        <v>23</v>
      </c>
      <c r="K765" s="6" t="s">
        <v>24</v>
      </c>
      <c r="L765" s="6" t="s">
        <v>25</v>
      </c>
      <c r="M765" s="6" t="s">
        <v>26</v>
      </c>
      <c r="N765" s="8"/>
      <c r="O765" s="167" t="s">
        <v>32</v>
      </c>
      <c r="P765" s="167" t="s">
        <v>35</v>
      </c>
      <c r="Q765" s="167" t="s">
        <v>66</v>
      </c>
      <c r="R765" s="99" t="s">
        <v>67</v>
      </c>
      <c r="S765" s="99" t="s">
        <v>68</v>
      </c>
      <c r="T765" s="167" t="s">
        <v>69</v>
      </c>
      <c r="U765" s="71" t="s">
        <v>33</v>
      </c>
      <c r="V765" s="99" t="s">
        <v>70</v>
      </c>
    </row>
    <row r="766" spans="1:22" x14ac:dyDescent="0.25">
      <c r="A766" s="3" t="s">
        <v>27</v>
      </c>
      <c r="B766" s="3">
        <v>0</v>
      </c>
      <c r="C766" s="3">
        <v>0.3</v>
      </c>
      <c r="D766" s="3">
        <v>243</v>
      </c>
      <c r="E766" s="3">
        <v>1.73</v>
      </c>
      <c r="F766" s="3">
        <v>5</v>
      </c>
      <c r="G766" s="169">
        <v>12</v>
      </c>
      <c r="H766" s="3">
        <v>1820</v>
      </c>
      <c r="I766" s="169">
        <v>19645</v>
      </c>
      <c r="J766" s="3">
        <v>20</v>
      </c>
      <c r="K766" s="3">
        <v>40</v>
      </c>
      <c r="L766" s="3">
        <v>500</v>
      </c>
      <c r="M766" s="3">
        <v>1000</v>
      </c>
      <c r="O766" s="168"/>
      <c r="P766" s="168"/>
      <c r="Q766" s="168"/>
      <c r="R766" s="72" t="s">
        <v>71</v>
      </c>
      <c r="S766" s="72" t="s">
        <v>71</v>
      </c>
      <c r="T766" s="168"/>
      <c r="U766" s="73">
        <v>500</v>
      </c>
      <c r="V766" s="3">
        <v>1.5</v>
      </c>
    </row>
    <row r="767" spans="1:22" x14ac:dyDescent="0.25">
      <c r="A767" s="3" t="s">
        <v>28</v>
      </c>
      <c r="B767" s="3">
        <v>0</v>
      </c>
      <c r="C767" s="3">
        <v>0.3</v>
      </c>
      <c r="D767" s="3">
        <v>254</v>
      </c>
      <c r="E767" s="3">
        <v>1.88</v>
      </c>
      <c r="F767" s="3">
        <v>3</v>
      </c>
      <c r="G767" s="170"/>
      <c r="H767" s="3">
        <v>2720</v>
      </c>
      <c r="I767" s="170"/>
      <c r="J767" s="5"/>
      <c r="K767" s="5"/>
      <c r="L767" s="5"/>
      <c r="M767" s="5"/>
      <c r="O767" s="74">
        <v>1</v>
      </c>
      <c r="P767" s="74">
        <v>106</v>
      </c>
      <c r="Q767" s="74">
        <v>110</v>
      </c>
      <c r="R767" s="74">
        <v>6</v>
      </c>
      <c r="S767" s="74">
        <v>5</v>
      </c>
      <c r="T767" s="74">
        <f>R767*$U$5/60+S767</f>
        <v>55</v>
      </c>
      <c r="U767" s="75"/>
    </row>
    <row r="768" spans="1:22" x14ac:dyDescent="0.25">
      <c r="A768" s="3" t="s">
        <v>29</v>
      </c>
      <c r="B768" s="3">
        <v>0</v>
      </c>
      <c r="C768" s="3">
        <v>0.3</v>
      </c>
      <c r="D768" s="3">
        <v>143</v>
      </c>
      <c r="E768" s="3">
        <v>2.4300000000000002</v>
      </c>
      <c r="F768" s="3">
        <v>8</v>
      </c>
      <c r="G768" s="170"/>
      <c r="H768" s="3">
        <v>3700</v>
      </c>
      <c r="I768" s="170"/>
      <c r="J768" s="5"/>
      <c r="K768" s="140" t="s">
        <v>73</v>
      </c>
      <c r="L768" s="141">
        <v>12</v>
      </c>
      <c r="M768" s="140" t="s">
        <v>74</v>
      </c>
      <c r="N768" s="141">
        <v>19645</v>
      </c>
      <c r="O768" s="74">
        <v>2</v>
      </c>
      <c r="P768" s="74">
        <v>76</v>
      </c>
      <c r="Q768" s="74">
        <v>40</v>
      </c>
      <c r="R768" s="74">
        <v>9</v>
      </c>
      <c r="S768" s="74">
        <v>2</v>
      </c>
      <c r="T768" s="74">
        <f t="shared" ref="T768:T770" si="80">R768*$U$5/60+S768</f>
        <v>77</v>
      </c>
      <c r="U768" s="75"/>
    </row>
    <row r="769" spans="1:34" x14ac:dyDescent="0.25">
      <c r="A769" s="3" t="s">
        <v>30</v>
      </c>
      <c r="B769" s="3">
        <v>0</v>
      </c>
      <c r="C769" s="3">
        <v>0.3</v>
      </c>
      <c r="D769" s="3">
        <v>449</v>
      </c>
      <c r="E769" s="3">
        <v>2.5299999999999998</v>
      </c>
      <c r="F769" s="3">
        <v>4</v>
      </c>
      <c r="G769" s="171"/>
      <c r="H769" s="3">
        <v>4320</v>
      </c>
      <c r="I769" s="171"/>
      <c r="J769" s="5"/>
      <c r="K769" s="140"/>
      <c r="L769" s="141"/>
      <c r="M769" s="140"/>
      <c r="N769" s="141"/>
      <c r="O769" s="74">
        <v>3</v>
      </c>
      <c r="P769" s="74">
        <v>95</v>
      </c>
      <c r="Q769" s="74">
        <v>67</v>
      </c>
      <c r="R769" s="74">
        <v>5</v>
      </c>
      <c r="S769" s="74">
        <v>4</v>
      </c>
      <c r="T769" s="74">
        <f t="shared" si="80"/>
        <v>45.666666666666664</v>
      </c>
      <c r="U769" s="75"/>
    </row>
    <row r="770" spans="1:34" ht="15.75" thickBo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O770" s="74">
        <v>4</v>
      </c>
      <c r="P770" s="74">
        <v>140</v>
      </c>
      <c r="Q770" s="94">
        <v>85</v>
      </c>
      <c r="R770" s="94">
        <v>8</v>
      </c>
      <c r="S770" s="94">
        <v>3</v>
      </c>
      <c r="T770" s="74">
        <f t="shared" si="80"/>
        <v>69.666666666666671</v>
      </c>
    </row>
    <row r="771" spans="1:34" x14ac:dyDescent="0.25">
      <c r="A771" s="142" t="s">
        <v>36</v>
      </c>
      <c r="B771" s="144" t="s">
        <v>106</v>
      </c>
      <c r="C771" s="144"/>
      <c r="D771" s="144"/>
      <c r="E771" s="144"/>
      <c r="F771" s="20" t="s">
        <v>27</v>
      </c>
      <c r="G771" s="20" t="s">
        <v>28</v>
      </c>
      <c r="H771" s="20" t="s">
        <v>29</v>
      </c>
      <c r="I771" s="20" t="s">
        <v>30</v>
      </c>
    </row>
    <row r="772" spans="1:34" ht="15.75" thickBot="1" x14ac:dyDescent="0.3">
      <c r="A772" s="143"/>
      <c r="B772" s="145"/>
      <c r="C772" s="145"/>
      <c r="D772" s="145"/>
      <c r="E772" s="145"/>
      <c r="F772" s="20">
        <v>126</v>
      </c>
      <c r="G772" s="26">
        <v>91</v>
      </c>
      <c r="H772" s="26">
        <v>67</v>
      </c>
      <c r="I772" s="26">
        <v>201</v>
      </c>
    </row>
    <row r="773" spans="1:34" ht="15.75" thickBot="1" x14ac:dyDescent="0.3">
      <c r="A773" s="143"/>
      <c r="B773" s="145"/>
      <c r="C773" s="145"/>
      <c r="D773" s="145"/>
      <c r="E773" s="145"/>
      <c r="F773" s="7"/>
      <c r="G773" s="146" t="s">
        <v>27</v>
      </c>
      <c r="H773" s="147"/>
      <c r="I773" s="147"/>
      <c r="J773" s="147"/>
      <c r="K773" s="148"/>
      <c r="L773" s="149" t="s">
        <v>28</v>
      </c>
      <c r="M773" s="150"/>
      <c r="N773" s="150"/>
      <c r="O773" s="150"/>
      <c r="P773" s="151"/>
      <c r="Q773" s="152" t="s">
        <v>29</v>
      </c>
      <c r="R773" s="153"/>
      <c r="S773" s="153"/>
      <c r="T773" s="153"/>
      <c r="U773" s="154"/>
      <c r="V773" s="155" t="s">
        <v>30</v>
      </c>
      <c r="W773" s="156"/>
      <c r="X773" s="156"/>
      <c r="Y773" s="156"/>
      <c r="Z773" s="157"/>
      <c r="AA773" s="158" t="s">
        <v>42</v>
      </c>
      <c r="AB773" s="159"/>
      <c r="AC773" s="160" t="s">
        <v>44</v>
      </c>
      <c r="AD773" s="162" t="s">
        <v>47</v>
      </c>
      <c r="AE773" s="163"/>
      <c r="AF773" s="163"/>
      <c r="AG773" s="164"/>
      <c r="AH773" s="138" t="s">
        <v>62</v>
      </c>
    </row>
    <row r="774" spans="1:34" ht="36.75" x14ac:dyDescent="0.25">
      <c r="A774" s="21" t="s">
        <v>32</v>
      </c>
      <c r="B774" s="22" t="s">
        <v>37</v>
      </c>
      <c r="C774" s="23" t="s">
        <v>33</v>
      </c>
      <c r="D774" s="22" t="s">
        <v>38</v>
      </c>
      <c r="E774" s="22" t="s">
        <v>34</v>
      </c>
      <c r="F774" s="25" t="s">
        <v>35</v>
      </c>
      <c r="G774" s="27" t="s">
        <v>39</v>
      </c>
      <c r="H774" s="10" t="s">
        <v>40</v>
      </c>
      <c r="I774" s="10" t="s">
        <v>45</v>
      </c>
      <c r="J774" s="10" t="s">
        <v>46</v>
      </c>
      <c r="K774" s="28" t="s">
        <v>41</v>
      </c>
      <c r="L774" s="30" t="s">
        <v>39</v>
      </c>
      <c r="M774" s="13" t="s">
        <v>40</v>
      </c>
      <c r="N774" s="13" t="s">
        <v>45</v>
      </c>
      <c r="O774" s="13" t="s">
        <v>46</v>
      </c>
      <c r="P774" s="31" t="s">
        <v>41</v>
      </c>
      <c r="Q774" s="33" t="s">
        <v>39</v>
      </c>
      <c r="R774" s="12" t="s">
        <v>40</v>
      </c>
      <c r="S774" s="12" t="s">
        <v>45</v>
      </c>
      <c r="T774" s="12" t="s">
        <v>46</v>
      </c>
      <c r="U774" s="34" t="s">
        <v>41</v>
      </c>
      <c r="V774" s="36" t="s">
        <v>39</v>
      </c>
      <c r="W774" s="11" t="s">
        <v>40</v>
      </c>
      <c r="X774" s="11" t="s">
        <v>45</v>
      </c>
      <c r="Y774" s="11" t="s">
        <v>46</v>
      </c>
      <c r="Z774" s="37" t="s">
        <v>41</v>
      </c>
      <c r="AA774" s="39" t="s">
        <v>41</v>
      </c>
      <c r="AB774" s="40" t="s">
        <v>43</v>
      </c>
      <c r="AC774" s="161"/>
      <c r="AD774" s="43" t="s">
        <v>27</v>
      </c>
      <c r="AE774" s="1" t="s">
        <v>28</v>
      </c>
      <c r="AF774" s="1" t="s">
        <v>29</v>
      </c>
      <c r="AG774" s="1" t="s">
        <v>30</v>
      </c>
      <c r="AH774" s="139"/>
    </row>
    <row r="775" spans="1:34" x14ac:dyDescent="0.25">
      <c r="A775" s="24">
        <v>4</v>
      </c>
      <c r="B775" s="9">
        <v>8</v>
      </c>
      <c r="C775" s="9">
        <v>500</v>
      </c>
      <c r="D775" s="9">
        <v>3</v>
      </c>
      <c r="E775" s="48">
        <f>B775*C775/60+D775</f>
        <v>69.666666666666671</v>
      </c>
      <c r="F775" s="100">
        <v>140</v>
      </c>
      <c r="G775" s="49">
        <f>B$5*(1-AD775*C$5)</f>
        <v>0</v>
      </c>
      <c r="H775" s="50">
        <f>G775+E775</f>
        <v>69.666666666666671</v>
      </c>
      <c r="I775" s="15">
        <f>(H775/D$5)^E$5</f>
        <v>0.11516869637804684</v>
      </c>
      <c r="J775" s="15">
        <f>(G775/D$5)^E$5</f>
        <v>0</v>
      </c>
      <c r="K775" s="29">
        <f>1-EXP(J775-I775)</f>
        <v>0.10878421365041502</v>
      </c>
      <c r="L775" s="51">
        <f>B$6*(1-AE775*C$6)</f>
        <v>0</v>
      </c>
      <c r="M775" s="52">
        <f>L775+E775</f>
        <v>69.666666666666671</v>
      </c>
      <c r="N775" s="17">
        <f>(M775/D$6)^E$6</f>
        <v>8.7861714115895329E-2</v>
      </c>
      <c r="O775" s="17">
        <f>(L775/D$6)^E$6</f>
        <v>0</v>
      </c>
      <c r="P775" s="32">
        <f>1-EXP(O775-N775)</f>
        <v>8.4112477717763534E-2</v>
      </c>
      <c r="Q775" s="53">
        <f>B$7*(1-AF775*C$7)</f>
        <v>0</v>
      </c>
      <c r="R775" s="54">
        <f>Q775+E775</f>
        <v>69.666666666666671</v>
      </c>
      <c r="S775" s="16">
        <f>(R775/D$7)^E$7</f>
        <v>0.17421448251746105</v>
      </c>
      <c r="T775" s="16">
        <f>(Q775/D$7)^E$7</f>
        <v>0</v>
      </c>
      <c r="U775" s="35">
        <f>1-EXP(T775-S775)</f>
        <v>0.15988331200899064</v>
      </c>
      <c r="V775" s="55">
        <f>B$8*(1-AG775*C$8)</f>
        <v>0</v>
      </c>
      <c r="W775" s="56">
        <f>V775+E775</f>
        <v>69.666666666666671</v>
      </c>
      <c r="X775" s="18">
        <f>(W775/D$8)^E$8</f>
        <v>8.9674731846197935E-3</v>
      </c>
      <c r="Y775" s="18">
        <f>(V775/D$8)^E$8</f>
        <v>0</v>
      </c>
      <c r="Z775" s="38">
        <f>1-EXP(Y775-X775)</f>
        <v>8.9273853154187011E-3</v>
      </c>
      <c r="AA775" s="41">
        <f>K775*P775*U775*Z775</f>
        <v>1.3060317021926209E-5</v>
      </c>
      <c r="AB775" s="42">
        <f>1-AA775</f>
        <v>0.99998693968297803</v>
      </c>
      <c r="AC775" s="47">
        <f>(AD775*F$5+AE775*F$6+AF775*F$7+AG775*F$8)+E775</f>
        <v>69.666666666666671</v>
      </c>
      <c r="AD775" s="43">
        <v>0</v>
      </c>
      <c r="AE775" s="1">
        <v>0</v>
      </c>
      <c r="AF775" s="1">
        <v>0</v>
      </c>
      <c r="AG775" s="1">
        <v>0</v>
      </c>
      <c r="AH775" s="74">
        <v>85</v>
      </c>
    </row>
    <row r="776" spans="1:34" x14ac:dyDescent="0.25">
      <c r="A776" s="76">
        <v>2</v>
      </c>
      <c r="B776" s="58">
        <v>9</v>
      </c>
      <c r="C776" s="9">
        <v>500</v>
      </c>
      <c r="D776" s="58">
        <v>2</v>
      </c>
      <c r="E776" s="48">
        <f t="shared" ref="E776:E778" si="81">B776*C776/60+D776</f>
        <v>77</v>
      </c>
      <c r="F776" s="100">
        <v>76</v>
      </c>
      <c r="G776" s="49">
        <f>H775*(1-AD776*C$5)</f>
        <v>69.666666666666671</v>
      </c>
      <c r="H776" s="50">
        <f>G776+E776</f>
        <v>146.66666666666669</v>
      </c>
      <c r="I776" s="15">
        <f>(H776/D$5)^E$5</f>
        <v>0.41749810283193062</v>
      </c>
      <c r="J776" s="15">
        <f>(G776/D$5)^E$5</f>
        <v>0.11516869637804684</v>
      </c>
      <c r="K776" s="29">
        <f>1-EXP(J776-I776)</f>
        <v>0.26090543773277519</v>
      </c>
      <c r="L776" s="51">
        <f>M775*(1-AE776*C$6)</f>
        <v>69.666666666666671</v>
      </c>
      <c r="M776" s="52">
        <f>L776+E776</f>
        <v>146.66666666666669</v>
      </c>
      <c r="N776" s="17">
        <f>(M776/D$6)^E$6</f>
        <v>0.35613584348340649</v>
      </c>
      <c r="O776" s="17">
        <f>(L776/D$6)^E$6</f>
        <v>8.7861714115895329E-2</v>
      </c>
      <c r="P776" s="32">
        <f>1-EXP(O776-N776)</f>
        <v>0.23530187384577195</v>
      </c>
      <c r="Q776" s="53">
        <f>R775*(1-AF776*C$7)</f>
        <v>48.766666666666666</v>
      </c>
      <c r="R776" s="54">
        <f>Q776+E776</f>
        <v>125.76666666666667</v>
      </c>
      <c r="S776" s="16">
        <f>(R776/D$7)^E$7</f>
        <v>0.73194376667254746</v>
      </c>
      <c r="T776" s="16">
        <f>(Q776/D$7)^E$7</f>
        <v>7.3227210826217928E-2</v>
      </c>
      <c r="U776" s="35">
        <f>1-EXP(T776-S776)</f>
        <v>0.48248488981633086</v>
      </c>
      <c r="V776" s="55">
        <f>W775*(1-AG776*C$8)</f>
        <v>69.666666666666671</v>
      </c>
      <c r="W776" s="56">
        <f>V776+E776</f>
        <v>146.66666666666669</v>
      </c>
      <c r="X776" s="18">
        <f>(W776/D$8)^E$8</f>
        <v>5.897056032024859E-2</v>
      </c>
      <c r="Y776" s="18">
        <f>(V776/D$8)^E$8</f>
        <v>8.9674731846197935E-3</v>
      </c>
      <c r="Z776" s="38">
        <f>1-EXP(Y776-X776)</f>
        <v>4.8773512069000713E-2</v>
      </c>
      <c r="AA776" s="41">
        <f>K776*P776*U776*Z776</f>
        <v>1.444695308858557E-3</v>
      </c>
      <c r="AB776" s="42">
        <f>1-AA776</f>
        <v>0.9985553046911414</v>
      </c>
      <c r="AC776" s="47">
        <f>AF776*F$7+E776+AC775</f>
        <v>154.66666666666669</v>
      </c>
      <c r="AD776" s="43">
        <v>0</v>
      </c>
      <c r="AE776" s="1">
        <v>0</v>
      </c>
      <c r="AF776" s="1">
        <v>1</v>
      </c>
      <c r="AG776" s="1">
        <v>0</v>
      </c>
      <c r="AH776" s="74">
        <v>40</v>
      </c>
    </row>
    <row r="777" spans="1:34" x14ac:dyDescent="0.25">
      <c r="A777" s="24">
        <v>1</v>
      </c>
      <c r="B777" s="9">
        <v>6</v>
      </c>
      <c r="C777" s="58">
        <v>500</v>
      </c>
      <c r="D777" s="58">
        <v>5</v>
      </c>
      <c r="E777" s="48">
        <f t="shared" si="81"/>
        <v>55</v>
      </c>
      <c r="F777" s="100">
        <v>106</v>
      </c>
      <c r="G777" s="68">
        <f>H776*(1-AD777*C$5)</f>
        <v>102.66666666666667</v>
      </c>
      <c r="H777" s="69">
        <f>G777+E777</f>
        <v>157.66666666666669</v>
      </c>
      <c r="I777" s="70">
        <f>(H777/D$5)^E$5</f>
        <v>0.47314161668142424</v>
      </c>
      <c r="J777" s="70">
        <f>(G777/D$5)^E$5</f>
        <v>0.22525483181366224</v>
      </c>
      <c r="K777" s="29">
        <f>1-EXP(J777-I777)</f>
        <v>0.21955170316640893</v>
      </c>
      <c r="L777" s="51">
        <f>M776*(1-AE777*C$6)</f>
        <v>102.66666666666667</v>
      </c>
      <c r="M777" s="52">
        <f>L777+E777</f>
        <v>157.66666666666669</v>
      </c>
      <c r="N777" s="17">
        <f>(M777/D$6)^E$6</f>
        <v>0.40800322739554595</v>
      </c>
      <c r="O777" s="17">
        <f>(L777/D$6)^E$6</f>
        <v>0.18213776408892768</v>
      </c>
      <c r="P777" s="32">
        <f>1-EXP(O777-N777)</f>
        <v>0.20217456875895568</v>
      </c>
      <c r="Q777" s="53">
        <f>R776*(1-AF777*C$7)</f>
        <v>88.036666666666662</v>
      </c>
      <c r="R777" s="54">
        <f>Q777+E777</f>
        <v>143.03666666666666</v>
      </c>
      <c r="S777" s="16">
        <f>(R777/D$7)^E$7</f>
        <v>1.0006231911580441</v>
      </c>
      <c r="T777" s="16">
        <f>(Q777/D$7)^E$7</f>
        <v>0.30765639997636068</v>
      </c>
      <c r="U777" s="35">
        <f>1-EXP(T777-S777)</f>
        <v>0.49990979717529793</v>
      </c>
      <c r="V777" s="55">
        <f>W776*(1-AG777*C$8)</f>
        <v>146.66666666666669</v>
      </c>
      <c r="W777" s="56">
        <f>V777+E777</f>
        <v>201.66666666666669</v>
      </c>
      <c r="X777" s="18">
        <f>(W777/D$8)^E$8</f>
        <v>0.13199001575183039</v>
      </c>
      <c r="Y777" s="18">
        <f>(V777/D$8)^E$8</f>
        <v>5.897056032024859E-2</v>
      </c>
      <c r="Z777" s="38">
        <f>1-EXP(Y777-X777)</f>
        <v>7.0417255583621996E-2</v>
      </c>
      <c r="AA777" s="41">
        <f>K777*P777*U777*Z777</f>
        <v>1.5625505605937774E-3</v>
      </c>
      <c r="AB777" s="42">
        <f>1-AA777</f>
        <v>0.99843744943940627</v>
      </c>
      <c r="AC777" s="47">
        <f>(AF777*F$7)+E777+AC776</f>
        <v>217.66666666666669</v>
      </c>
      <c r="AD777" s="77">
        <v>1</v>
      </c>
      <c r="AE777" s="78">
        <v>1</v>
      </c>
      <c r="AF777" s="78">
        <v>1</v>
      </c>
      <c r="AG777" s="78">
        <v>0</v>
      </c>
      <c r="AH777" s="74">
        <v>110</v>
      </c>
    </row>
    <row r="778" spans="1:34" ht="15.75" thickBot="1" x14ac:dyDescent="0.3">
      <c r="A778" s="57">
        <v>3</v>
      </c>
      <c r="B778" s="58">
        <v>5</v>
      </c>
      <c r="C778" s="58">
        <v>500</v>
      </c>
      <c r="D778" s="9">
        <v>4</v>
      </c>
      <c r="E778" s="48">
        <f t="shared" si="81"/>
        <v>45.666666666666664</v>
      </c>
      <c r="F778" s="100">
        <v>95</v>
      </c>
      <c r="G778" s="68">
        <f>H777*(1-AD778*C$5)</f>
        <v>110.36666666666667</v>
      </c>
      <c r="H778" s="69">
        <f>G778+E778</f>
        <v>156.03333333333333</v>
      </c>
      <c r="I778" s="70">
        <f>(H778/D$5)^E$5</f>
        <v>0.46469417134425517</v>
      </c>
      <c r="J778" s="70">
        <f>(G778/D$5)^E$5</f>
        <v>0.25527645411246963</v>
      </c>
      <c r="K778" s="29">
        <f>1-EXP(J778-I778)</f>
        <v>0.18894362734892267</v>
      </c>
      <c r="L778" s="51">
        <f>M777*(1-AE778*C$6)</f>
        <v>110.36666666666667</v>
      </c>
      <c r="M778" s="52">
        <f>L778+E778</f>
        <v>156.03333333333333</v>
      </c>
      <c r="N778" s="17">
        <f>(M778/D$6)^E$6</f>
        <v>0.40009331888325944</v>
      </c>
      <c r="O778" s="17">
        <f>(L778/D$6)^E$6</f>
        <v>0.20866418513797683</v>
      </c>
      <c r="P778" s="32">
        <f>1-EXP(O778-N778)</f>
        <v>0.17422185716279748</v>
      </c>
      <c r="Q778" s="53">
        <f>R777*(1-AF778*C$7)</f>
        <v>100.12566666666666</v>
      </c>
      <c r="R778" s="54">
        <f>Q778+E778</f>
        <v>145.79233333333332</v>
      </c>
      <c r="S778" s="16">
        <f>(R778/D$7)^E$7</f>
        <v>1.0481144719536486</v>
      </c>
      <c r="T778" s="16">
        <f>(Q778/D$7)^E$7</f>
        <v>0.42058986324049785</v>
      </c>
      <c r="U778" s="35">
        <f>1-EXP(T778-S778)</f>
        <v>0.46608819279756042</v>
      </c>
      <c r="V778" s="55">
        <f>W777*(1-AG778*C$8)</f>
        <v>141.16666666666666</v>
      </c>
      <c r="W778" s="56">
        <f>V778+E778</f>
        <v>186.83333333333331</v>
      </c>
      <c r="X778" s="18">
        <f>(W778/D$8)^E$8</f>
        <v>0.10879183288616899</v>
      </c>
      <c r="Y778" s="18">
        <f>(V778/D$8)^E$8</f>
        <v>5.3535162088524581E-2</v>
      </c>
      <c r="Z778" s="38">
        <f>1-EXP(Y778-X778)</f>
        <v>5.3757755969894516E-2</v>
      </c>
      <c r="AA778" s="41">
        <f>K778*P778*U778*Z778</f>
        <v>8.2479139323540882E-4</v>
      </c>
      <c r="AB778" s="42">
        <f>1-AA778</f>
        <v>0.99917520860676456</v>
      </c>
      <c r="AC778" s="47">
        <f>(AF778*F$7)+E778+AC777</f>
        <v>271.33333333333337</v>
      </c>
      <c r="AD778" s="80">
        <v>1</v>
      </c>
      <c r="AE778" s="45">
        <v>1</v>
      </c>
      <c r="AF778" s="81">
        <v>1</v>
      </c>
      <c r="AG778" s="45">
        <v>1</v>
      </c>
      <c r="AH778" s="94">
        <v>67</v>
      </c>
    </row>
    <row r="779" spans="1:34" ht="18.75" x14ac:dyDescent="0.3">
      <c r="A779" s="132" t="s">
        <v>53</v>
      </c>
      <c r="B779" s="132"/>
      <c r="C779" s="132"/>
      <c r="D779" s="132"/>
      <c r="E779" s="132"/>
      <c r="F779" s="132"/>
      <c r="G779" s="132"/>
      <c r="H779" s="132"/>
      <c r="I779" s="132"/>
      <c r="J779" s="132"/>
      <c r="AG779" s="46"/>
    </row>
    <row r="780" spans="1:34" ht="15.75" x14ac:dyDescent="0.25">
      <c r="A780" s="19" t="s">
        <v>82</v>
      </c>
      <c r="B780" s="60" t="s">
        <v>49</v>
      </c>
      <c r="C780" s="61" t="s">
        <v>50</v>
      </c>
      <c r="D780" s="19" t="s">
        <v>48</v>
      </c>
      <c r="E780" s="60" t="s">
        <v>57</v>
      </c>
      <c r="F780" s="61" t="s">
        <v>50</v>
      </c>
      <c r="G780" s="19" t="s">
        <v>58</v>
      </c>
      <c r="H780" s="60" t="s">
        <v>61</v>
      </c>
      <c r="I780" s="61" t="s">
        <v>50</v>
      </c>
      <c r="J780" s="19" t="s">
        <v>54</v>
      </c>
      <c r="K780" s="83" t="s">
        <v>84</v>
      </c>
      <c r="L780" s="61" t="s">
        <v>50</v>
      </c>
      <c r="M780" s="61" t="s">
        <v>85</v>
      </c>
      <c r="O780" s="174" t="s">
        <v>64</v>
      </c>
      <c r="P780" s="174"/>
      <c r="Q780" s="175" t="s">
        <v>109</v>
      </c>
      <c r="R780" s="175"/>
    </row>
    <row r="781" spans="1:34" ht="24.75" x14ac:dyDescent="0.25">
      <c r="A781" s="61" t="s">
        <v>51</v>
      </c>
      <c r="B781" s="1">
        <f>AA775</f>
        <v>1.3060317021926209E-5</v>
      </c>
      <c r="C781" s="59">
        <f>MAX(AC775+1*L768-F775,0)</f>
        <v>0</v>
      </c>
      <c r="D781" s="62" t="s">
        <v>55</v>
      </c>
      <c r="E781" s="1">
        <f>AA775*AA776</f>
        <v>1.8868178733782354E-8</v>
      </c>
      <c r="F781" s="1">
        <f>MAX(AC776+2*L768-F776,0)</f>
        <v>102.66666666666669</v>
      </c>
      <c r="G781" s="62" t="s">
        <v>59</v>
      </c>
      <c r="H781" s="1">
        <f>AA775*AA776*AA777</f>
        <v>2.9482483257855206E-11</v>
      </c>
      <c r="I781" s="1">
        <f>AC777+3*L768-F777</f>
        <v>147.66666666666669</v>
      </c>
      <c r="J781" s="62" t="s">
        <v>83</v>
      </c>
      <c r="K781" s="1">
        <f>AA775*AA776*AA777*AA778</f>
        <v>2.4316898442286009E-14</v>
      </c>
      <c r="L781" s="1">
        <f>AC778+4*L768-F778</f>
        <v>224.33333333333337</v>
      </c>
      <c r="M781" s="1">
        <f>B781*C781*AH775+E781*F781*AH776+H781*I781*AH777+K781*L781*AH778</f>
        <v>7.7964579960873855E-5</v>
      </c>
      <c r="O781" s="1" t="s">
        <v>27</v>
      </c>
      <c r="P781" s="1">
        <f>2*H766</f>
        <v>3640</v>
      </c>
      <c r="Q781" s="1">
        <f>(K775*(1-P775)*(1-U775)*(1-Z775))+(P775*(1-K775)*(1-U775)*(1-Z775))+(U775*(1-K775)*(1-P775)*(1-Z775))+(Z775*(1-K775)*(1-P775)*(1-U775))</f>
        <v>0.28083409477630866</v>
      </c>
      <c r="R781" s="1">
        <f>Q781*(L$7*(J$5*K$5+L$5)+I$5)</f>
        <v>9897.9976703909997</v>
      </c>
    </row>
    <row r="782" spans="1:34" ht="24.75" x14ac:dyDescent="0.25">
      <c r="A782" s="62" t="s">
        <v>52</v>
      </c>
      <c r="B782" s="1">
        <f>AB775</f>
        <v>0.99998693968297803</v>
      </c>
      <c r="C782" s="59">
        <f>MAX(AC775-F775,0)</f>
        <v>0</v>
      </c>
      <c r="D782" s="62" t="s">
        <v>56</v>
      </c>
      <c r="E782" s="1">
        <f>AA775*AB776+AA776*AB775</f>
        <v>1.4577178895230157E-3</v>
      </c>
      <c r="F782" s="1">
        <f>MAX(AC776+1*L768-F776,0)</f>
        <v>90.666666666666686</v>
      </c>
      <c r="G782" s="62" t="s">
        <v>60</v>
      </c>
      <c r="H782" s="1">
        <f>AA775*AA776*AB777+AA776*AA777*AB775+AA775*AA777*AB776</f>
        <v>2.2965966017122899E-6</v>
      </c>
      <c r="I782" s="1">
        <f>AC777+2*L768-F777</f>
        <v>135.66666666666669</v>
      </c>
      <c r="J782" s="62" t="s">
        <v>59</v>
      </c>
      <c r="K782">
        <f>AB775*AA776*AA777*AA778+AB776*AA775*AA777*AA778*+AB777*AA775*AA776*AA778+AB778*AA775*AA776*AA777</f>
        <v>1.8913257469903482E-9</v>
      </c>
      <c r="L782" s="1">
        <f>AC778+3*L768-F778</f>
        <v>212.33333333333337</v>
      </c>
      <c r="M782" s="1">
        <f>B782*C782*AH775+E782*F782*AH776+H782*I782*AH777+K782*L782*AH778</f>
        <v>5.3209566625868758</v>
      </c>
      <c r="O782" s="1" t="s">
        <v>28</v>
      </c>
      <c r="P782" s="1">
        <f>2*H767</f>
        <v>5440</v>
      </c>
      <c r="Q782" s="1">
        <f t="shared" ref="Q782:Q784" si="82">(K776*(1-P776)*(1-U776)*(1-Z776))+(P776*(1-K776)*(1-U776)*(1-Z776))+(U776*(1-K776)*(1-P776)*(1-Z776))+(Z776*(1-K776)*(1-P776)*(1-U776))</f>
        <v>0.45748556504227245</v>
      </c>
      <c r="R782" s="1">
        <f t="shared" ref="R782:R784" si="83">Q782*(L$7*(J$5*K$5+L$5)+I$5)</f>
        <v>16124.078739914892</v>
      </c>
    </row>
    <row r="783" spans="1:34" ht="24.75" x14ac:dyDescent="0.25">
      <c r="A783" s="1"/>
      <c r="B783" s="1"/>
      <c r="C783" s="1"/>
      <c r="D783" s="62" t="s">
        <v>52</v>
      </c>
      <c r="E783" s="1">
        <f>AB775*AB776</f>
        <v>0.99854226324229811</v>
      </c>
      <c r="F783" s="59">
        <f>MAX(AC776-F776,0)</f>
        <v>78.666666666666686</v>
      </c>
      <c r="G783" s="62" t="s">
        <v>56</v>
      </c>
      <c r="H783" s="1">
        <f>AA775*AB776*AB777+AA776*AB775*AB777*+AA777*AB775*AB776</f>
        <v>1.5271638107951078E-5</v>
      </c>
      <c r="I783" s="1">
        <f>AC777+1*L768-F777</f>
        <v>123.66666666666669</v>
      </c>
      <c r="J783" s="62" t="s">
        <v>60</v>
      </c>
      <c r="K783" s="1">
        <f>AA775*AA776*AB777*AB778 + AA775*AA777*AB776*AB778 + AA775*AA778*AB776*AB777 + AA776*AA777*AB775*AB778 + AA776*AA778*AB775*AB777 + AA777*AA778*AB775*AB776</f>
        <v>4.7820364369687471E-6</v>
      </c>
      <c r="L783" s="1">
        <f>AC778+2*L768-F778</f>
        <v>200.33333333333337</v>
      </c>
      <c r="M783" s="1">
        <f>B783*C783*AH775+E783*F783*AH776+H783*I783*AH777+K783*L783*AH778</f>
        <v>3142.3515862732302</v>
      </c>
      <c r="O783" s="1" t="s">
        <v>29</v>
      </c>
      <c r="P783" s="1">
        <f>3*(F768*(J766*K766+L766)+H768)</f>
        <v>42300</v>
      </c>
      <c r="Q783" s="1">
        <f t="shared" si="82"/>
        <v>0.46606303872531835</v>
      </c>
      <c r="R783" s="1">
        <f t="shared" si="83"/>
        <v>16426.391799873843</v>
      </c>
    </row>
    <row r="784" spans="1:34" ht="24.75" x14ac:dyDescent="0.25">
      <c r="A784" s="1"/>
      <c r="B784" s="1"/>
      <c r="C784" s="1"/>
      <c r="D784" s="1"/>
      <c r="E784" s="1"/>
      <c r="F784" s="1"/>
      <c r="G784" s="62" t="s">
        <v>52</v>
      </c>
      <c r="H784" s="1">
        <f>AB775*AB776*AB777</f>
        <v>0.99698199046909231</v>
      </c>
      <c r="I784" s="63">
        <f>AC777-F777</f>
        <v>111.66666666666669</v>
      </c>
      <c r="J784" s="62" t="s">
        <v>56</v>
      </c>
      <c r="K784" s="1">
        <f>AA775*AB776*AB777*AB778+AA776*AB775*AB777*AB778+AA777*AB775*AB776*AB778+AA778*AB775*AB776*AB777</f>
        <v>3.8355277357246327E-3</v>
      </c>
      <c r="L784" s="1">
        <f>AC778+1*L768-F778</f>
        <v>188.33333333333337</v>
      </c>
      <c r="M784" s="1">
        <f>B784*C784*AH775+E784*F784*AH776+H784*I784*AH777+K784*L784*AH778</f>
        <v>12294.660083740639</v>
      </c>
      <c r="O784" s="1" t="s">
        <v>30</v>
      </c>
      <c r="P784" s="1">
        <f>1*H769</f>
        <v>4320</v>
      </c>
      <c r="Q784" s="1">
        <f t="shared" si="82"/>
        <v>0.46481942938377013</v>
      </c>
      <c r="R784" s="1">
        <f t="shared" si="83"/>
        <v>16382.560788630979</v>
      </c>
    </row>
    <row r="785" spans="1:20" ht="30" x14ac:dyDescent="0.25">
      <c r="I785" s="84"/>
      <c r="J785" s="62" t="s">
        <v>52</v>
      </c>
      <c r="K785" s="85">
        <f>AB775*AB776*AB777*AB778</f>
        <v>0.9961596883041427</v>
      </c>
      <c r="L785" s="1">
        <f>AC778+0*L768-F778</f>
        <v>176.33333333333337</v>
      </c>
      <c r="M785" s="1">
        <f>B785*C785*AH775+E785*F785*AH776+H785*I785*AH777+K785*L785*AH778</f>
        <v>11768.96261085458</v>
      </c>
      <c r="O785" s="64" t="s">
        <v>65</v>
      </c>
      <c r="P785" s="65">
        <f>SUM(P781:P784)</f>
        <v>55700</v>
      </c>
      <c r="Q785" s="96" t="s">
        <v>108</v>
      </c>
      <c r="R785" s="97">
        <f>SUM(R781:R784)</f>
        <v>58831.028998810718</v>
      </c>
    </row>
    <row r="786" spans="1:20" x14ac:dyDescent="0.25">
      <c r="L786" s="176" t="s">
        <v>63</v>
      </c>
      <c r="M786" s="177">
        <f>SUM(M781:M785)</f>
        <v>27211.295315495616</v>
      </c>
    </row>
    <row r="787" spans="1:20" x14ac:dyDescent="0.25">
      <c r="L787" s="176"/>
      <c r="M787" s="177"/>
    </row>
    <row r="788" spans="1:20" x14ac:dyDescent="0.25">
      <c r="A788" s="178" t="s">
        <v>90</v>
      </c>
      <c r="B788" s="178"/>
      <c r="C788" s="178"/>
      <c r="D788" s="178"/>
      <c r="E788" s="178"/>
      <c r="F788" s="178"/>
      <c r="G788" s="178"/>
      <c r="H788" s="178"/>
      <c r="I788" s="178"/>
      <c r="J788" s="178"/>
      <c r="K788" s="178"/>
      <c r="L788" s="178"/>
      <c r="M788" s="178"/>
      <c r="N788" s="178"/>
    </row>
    <row r="789" spans="1:20" ht="15.75" x14ac:dyDescent="0.25">
      <c r="A789" s="87" t="s">
        <v>86</v>
      </c>
      <c r="B789" s="62" t="s">
        <v>49</v>
      </c>
      <c r="C789" s="90" t="s">
        <v>103</v>
      </c>
      <c r="D789" s="62" t="s">
        <v>88</v>
      </c>
      <c r="E789" s="87" t="s">
        <v>75</v>
      </c>
      <c r="F789" s="62" t="s">
        <v>57</v>
      </c>
      <c r="G789" s="90" t="s">
        <v>87</v>
      </c>
      <c r="H789" s="62" t="s">
        <v>88</v>
      </c>
      <c r="I789" s="87" t="s">
        <v>77</v>
      </c>
      <c r="J789" s="62" t="s">
        <v>61</v>
      </c>
      <c r="K789" s="90" t="s">
        <v>78</v>
      </c>
      <c r="L789" s="62" t="s">
        <v>88</v>
      </c>
      <c r="M789" s="87" t="s">
        <v>76</v>
      </c>
      <c r="N789" s="62" t="s">
        <v>84</v>
      </c>
      <c r="O789" s="90" t="s">
        <v>102</v>
      </c>
      <c r="P789" s="62" t="s">
        <v>88</v>
      </c>
    </row>
    <row r="790" spans="1:20" ht="24.75" x14ac:dyDescent="0.25">
      <c r="A790" s="62" t="s">
        <v>51</v>
      </c>
      <c r="B790" s="86">
        <v>1.3060317021926209E-5</v>
      </c>
      <c r="C790" s="86">
        <f>AC775+1*L768</f>
        <v>81.666666666666671</v>
      </c>
      <c r="D790" s="86">
        <f>MAX(B790*1.5*((C790-F775)*500/2),0)</f>
        <v>0</v>
      </c>
      <c r="E790" s="62" t="s">
        <v>55</v>
      </c>
      <c r="F790" s="86">
        <v>1.8868178733782354E-8</v>
      </c>
      <c r="G790" s="86">
        <f>AC776+2*L768</f>
        <v>178.66666666666669</v>
      </c>
      <c r="H790" s="86">
        <f>F790*1.5*((G790-F776)*500/2+(G790-F777)*500+(G790-F778)*500)</f>
        <v>2.9387188377866021E-3</v>
      </c>
      <c r="I790" s="62" t="s">
        <v>59</v>
      </c>
      <c r="J790" s="86">
        <v>2.9482483257855206E-11</v>
      </c>
      <c r="K790" s="86">
        <f>AC777+3*L768</f>
        <v>253.66666666666669</v>
      </c>
      <c r="L790" s="86">
        <f>J790*1.5*((K790-G790)*500/2+(K790-G790)*500)</f>
        <v>2.4875845248815329E-6</v>
      </c>
      <c r="M790" s="62" t="s">
        <v>83</v>
      </c>
      <c r="N790" s="86">
        <v>2.4316898442286009E-14</v>
      </c>
      <c r="O790" s="86">
        <f>AC778+4*L768</f>
        <v>319.33333333333337</v>
      </c>
      <c r="P790" s="86">
        <f>N790*1.5*((O790-K790)*500/2)</f>
        <v>5.9880362414129322E-10</v>
      </c>
    </row>
    <row r="791" spans="1:20" ht="24.75" x14ac:dyDescent="0.25">
      <c r="A791" s="62" t="s">
        <v>52</v>
      </c>
      <c r="B791" s="86">
        <v>0.99998693968297803</v>
      </c>
      <c r="C791" s="88">
        <f>AC775</f>
        <v>69.666666666666671</v>
      </c>
      <c r="D791" s="86">
        <f>MAX(B791*1.5*((C791-F775)*500/2),0)</f>
        <v>0</v>
      </c>
      <c r="E791" s="62" t="s">
        <v>56</v>
      </c>
      <c r="F791" s="86">
        <v>1.4577178895230157E-3</v>
      </c>
      <c r="G791" s="86">
        <f>AC776+1*L768</f>
        <v>166.66666666666669</v>
      </c>
      <c r="H791" s="86">
        <f>F791*1.5*((G791-F776)*500/2+(G791-F777)*500+(G791-F778)*500)</f>
        <v>194.24090877894187</v>
      </c>
      <c r="I791" s="62" t="s">
        <v>60</v>
      </c>
      <c r="J791" s="86">
        <v>2.2965966017122899E-6</v>
      </c>
      <c r="K791" s="86">
        <f>AC777+2*L768</f>
        <v>241.66666666666669</v>
      </c>
      <c r="L791" s="86">
        <f>J791*1.5*((K791-G791)*500/2+(K791-G791)*500)</f>
        <v>0.19377533826947446</v>
      </c>
      <c r="M791" s="62" t="s">
        <v>59</v>
      </c>
      <c r="N791" s="86">
        <v>1.8913257469903482E-9</v>
      </c>
      <c r="O791" s="86">
        <f>AC778+3*L768</f>
        <v>307.33333333333337</v>
      </c>
      <c r="P791" s="86">
        <f>N791*1.5*((O791-K791)*500/2)</f>
        <v>4.6573896519637333E-5</v>
      </c>
    </row>
    <row r="792" spans="1:20" x14ac:dyDescent="0.25">
      <c r="A792" s="86"/>
      <c r="B792" s="86"/>
      <c r="C792" s="89" t="s">
        <v>89</v>
      </c>
      <c r="D792" s="89">
        <f>SUM(D790:D791)</f>
        <v>0</v>
      </c>
      <c r="E792" s="62" t="s">
        <v>52</v>
      </c>
      <c r="F792" s="86">
        <v>0.99854226324229811</v>
      </c>
      <c r="G792" s="86">
        <f>AC776+0*L768</f>
        <v>154.66666666666669</v>
      </c>
      <c r="H792" s="86">
        <f>F792*1.5*((G792-F776)*500/2+(G792-F777)*500+(G792-F778)*500)</f>
        <v>110588.55565408454</v>
      </c>
      <c r="I792" s="62" t="s">
        <v>56</v>
      </c>
      <c r="J792" s="86">
        <v>1.5271638107951078E-5</v>
      </c>
      <c r="K792" s="86">
        <f>AC777+1*L768</f>
        <v>229.66666666666669</v>
      </c>
      <c r="L792" s="86">
        <f>J792*1.5*((K792-G792)*500/2+(K792-G792)*500)</f>
        <v>1.2885444653583722</v>
      </c>
      <c r="M792" s="62" t="s">
        <v>60</v>
      </c>
      <c r="N792" s="86">
        <v>4.7820364369687471E-6</v>
      </c>
      <c r="O792" s="86">
        <f>AC778+2*L768</f>
        <v>295.33333333333337</v>
      </c>
      <c r="P792" s="86">
        <f>N792*1.5*((O792-K792)*500/2)</f>
        <v>0.11775764726035544</v>
      </c>
    </row>
    <row r="793" spans="1:20" x14ac:dyDescent="0.25">
      <c r="A793" s="86"/>
      <c r="B793" s="86"/>
      <c r="C793" s="86"/>
      <c r="D793" s="86"/>
      <c r="E793" s="86"/>
      <c r="F793" s="86"/>
      <c r="G793" s="89" t="s">
        <v>79</v>
      </c>
      <c r="H793" s="89">
        <f>SUM(H790:H792)</f>
        <v>110782.79950158233</v>
      </c>
      <c r="I793" s="62" t="s">
        <v>52</v>
      </c>
      <c r="J793" s="86">
        <v>0.99698199046909231</v>
      </c>
      <c r="K793" s="86">
        <f>AC777+0*L768</f>
        <v>217.66666666666669</v>
      </c>
      <c r="L793" s="86">
        <f>J793*1.5*((K793-G792)*500/2+(K793-G792)*500)</f>
        <v>70661.098574496908</v>
      </c>
      <c r="M793" s="62" t="s">
        <v>56</v>
      </c>
      <c r="N793" s="86">
        <v>3.8355277357246327E-3</v>
      </c>
      <c r="O793" s="86">
        <f>AC778+1*L768</f>
        <v>283.33333333333337</v>
      </c>
      <c r="P793" s="86">
        <f>N793*1.5*((O793-K793)*500/2)</f>
        <v>94.449870492219105</v>
      </c>
    </row>
    <row r="794" spans="1:20" x14ac:dyDescent="0.25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9" t="s">
        <v>79</v>
      </c>
      <c r="L794" s="89">
        <f>SUM(L790:L793)</f>
        <v>70662.580896788117</v>
      </c>
      <c r="M794" s="62" t="s">
        <v>52</v>
      </c>
      <c r="N794" s="86">
        <v>0.9961596883041427</v>
      </c>
      <c r="O794" s="86">
        <f>AC778+0*L768</f>
        <v>271.33333333333337</v>
      </c>
      <c r="P794" s="86">
        <f>N794*1.5*((O794-K793)*500/2)</f>
        <v>20047.713727120881</v>
      </c>
      <c r="Q794" s="179" t="s">
        <v>80</v>
      </c>
      <c r="R794" s="179"/>
      <c r="S794" s="180">
        <f>D792+H793+L794+P795</f>
        <v>201587.6618002053</v>
      </c>
      <c r="T794" s="180"/>
    </row>
    <row r="795" spans="1:20" x14ac:dyDescent="0.25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9" t="s">
        <v>79</v>
      </c>
      <c r="P795" s="89">
        <f>SUM(P790:P794)</f>
        <v>20142.281401834854</v>
      </c>
      <c r="Q795" s="179"/>
      <c r="R795" s="179"/>
      <c r="S795" s="180"/>
      <c r="T795" s="180"/>
    </row>
    <row r="796" spans="1:20" x14ac:dyDescent="0.25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</row>
    <row r="797" spans="1:20" x14ac:dyDescent="0.25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</row>
    <row r="798" spans="1:20" x14ac:dyDescent="0.25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</row>
    <row r="799" spans="1:20" ht="24.75" thickBot="1" x14ac:dyDescent="0.3">
      <c r="O799" s="131" t="s">
        <v>81</v>
      </c>
      <c r="P799" s="131"/>
      <c r="Q799" s="131">
        <f>(R785+P785+M786+S794)/AC778</f>
        <v>1265.3439291689615</v>
      </c>
      <c r="R799" s="131"/>
    </row>
    <row r="800" spans="1:20" x14ac:dyDescent="0.25">
      <c r="A800" s="181" t="s">
        <v>126</v>
      </c>
      <c r="B800" s="182"/>
    </row>
    <row r="801" spans="1:34" ht="15.75" thickBot="1" x14ac:dyDescent="0.3">
      <c r="A801" s="183"/>
      <c r="B801" s="184"/>
    </row>
    <row r="802" spans="1:34" ht="21" x14ac:dyDescent="0.35">
      <c r="A802" s="185" t="s">
        <v>14</v>
      </c>
      <c r="B802" s="185"/>
      <c r="C802" s="165"/>
      <c r="D802" s="165"/>
      <c r="E802" s="165"/>
      <c r="F802" s="165"/>
      <c r="G802" s="165"/>
      <c r="H802" s="165"/>
      <c r="I802" s="165"/>
      <c r="J802" s="165"/>
      <c r="K802" s="165"/>
      <c r="L802" s="165"/>
      <c r="M802" s="165"/>
      <c r="O802" s="166" t="s">
        <v>72</v>
      </c>
      <c r="P802" s="166"/>
      <c r="Q802" s="166"/>
      <c r="R802" s="166"/>
      <c r="S802" s="166"/>
      <c r="T802" s="166"/>
      <c r="U802" s="166"/>
      <c r="V802" s="166"/>
    </row>
    <row r="803" spans="1:34" ht="36" x14ac:dyDescent="0.25">
      <c r="A803" s="4" t="s">
        <v>15</v>
      </c>
      <c r="B803" s="4" t="s">
        <v>16</v>
      </c>
      <c r="C803" s="4" t="s">
        <v>31</v>
      </c>
      <c r="D803" s="6" t="s">
        <v>17</v>
      </c>
      <c r="E803" s="6" t="s">
        <v>18</v>
      </c>
      <c r="F803" s="6" t="s">
        <v>19</v>
      </c>
      <c r="G803" s="6" t="s">
        <v>20</v>
      </c>
      <c r="H803" s="6" t="s">
        <v>21</v>
      </c>
      <c r="I803" s="6" t="s">
        <v>22</v>
      </c>
      <c r="J803" s="6" t="s">
        <v>23</v>
      </c>
      <c r="K803" s="6" t="s">
        <v>24</v>
      </c>
      <c r="L803" s="6" t="s">
        <v>25</v>
      </c>
      <c r="M803" s="6" t="s">
        <v>26</v>
      </c>
      <c r="N803" s="8"/>
      <c r="O803" s="167" t="s">
        <v>32</v>
      </c>
      <c r="P803" s="167" t="s">
        <v>35</v>
      </c>
      <c r="Q803" s="167" t="s">
        <v>66</v>
      </c>
      <c r="R803" s="99" t="s">
        <v>67</v>
      </c>
      <c r="S803" s="99" t="s">
        <v>68</v>
      </c>
      <c r="T803" s="167" t="s">
        <v>69</v>
      </c>
      <c r="U803" s="71" t="s">
        <v>33</v>
      </c>
      <c r="V803" s="99" t="s">
        <v>70</v>
      </c>
    </row>
    <row r="804" spans="1:34" x14ac:dyDescent="0.25">
      <c r="A804" s="3" t="s">
        <v>27</v>
      </c>
      <c r="B804" s="3">
        <v>0</v>
      </c>
      <c r="C804" s="3">
        <v>0.3</v>
      </c>
      <c r="D804" s="3">
        <v>243</v>
      </c>
      <c r="E804" s="3">
        <v>1.73</v>
      </c>
      <c r="F804" s="3">
        <v>5</v>
      </c>
      <c r="G804" s="169">
        <v>12</v>
      </c>
      <c r="H804" s="3">
        <v>1820</v>
      </c>
      <c r="I804" s="169">
        <v>19645</v>
      </c>
      <c r="J804" s="3">
        <v>20</v>
      </c>
      <c r="K804" s="3">
        <v>40</v>
      </c>
      <c r="L804" s="3">
        <v>500</v>
      </c>
      <c r="M804" s="3">
        <v>1000</v>
      </c>
      <c r="O804" s="168"/>
      <c r="P804" s="168"/>
      <c r="Q804" s="168"/>
      <c r="R804" s="72" t="s">
        <v>71</v>
      </c>
      <c r="S804" s="72" t="s">
        <v>71</v>
      </c>
      <c r="T804" s="168"/>
      <c r="U804" s="73">
        <v>500</v>
      </c>
      <c r="V804" s="3">
        <v>1.5</v>
      </c>
    </row>
    <row r="805" spans="1:34" x14ac:dyDescent="0.25">
      <c r="A805" s="3" t="s">
        <v>28</v>
      </c>
      <c r="B805" s="3">
        <v>0</v>
      </c>
      <c r="C805" s="3">
        <v>0.3</v>
      </c>
      <c r="D805" s="3">
        <v>254</v>
      </c>
      <c r="E805" s="3">
        <v>1.88</v>
      </c>
      <c r="F805" s="3">
        <v>3</v>
      </c>
      <c r="G805" s="170"/>
      <c r="H805" s="3">
        <v>2720</v>
      </c>
      <c r="I805" s="170"/>
      <c r="J805" s="5"/>
      <c r="K805" s="5"/>
      <c r="L805" s="5"/>
      <c r="M805" s="5"/>
      <c r="O805" s="74">
        <v>1</v>
      </c>
      <c r="P805" s="74">
        <v>106</v>
      </c>
      <c r="Q805" s="74">
        <v>110</v>
      </c>
      <c r="R805" s="74">
        <v>6</v>
      </c>
      <c r="S805" s="74">
        <v>5</v>
      </c>
      <c r="T805" s="74">
        <f>R805*$U$5/60+S805</f>
        <v>55</v>
      </c>
      <c r="U805" s="75"/>
    </row>
    <row r="806" spans="1:34" x14ac:dyDescent="0.25">
      <c r="A806" s="3" t="s">
        <v>29</v>
      </c>
      <c r="B806" s="3">
        <v>0</v>
      </c>
      <c r="C806" s="3">
        <v>0.3</v>
      </c>
      <c r="D806" s="3">
        <v>143</v>
      </c>
      <c r="E806" s="3">
        <v>2.4300000000000002</v>
      </c>
      <c r="F806" s="3">
        <v>8</v>
      </c>
      <c r="G806" s="170"/>
      <c r="H806" s="3">
        <v>3700</v>
      </c>
      <c r="I806" s="170"/>
      <c r="J806" s="5"/>
      <c r="K806" s="140" t="s">
        <v>73</v>
      </c>
      <c r="L806" s="141">
        <v>12</v>
      </c>
      <c r="M806" s="140" t="s">
        <v>74</v>
      </c>
      <c r="N806" s="141">
        <v>19645</v>
      </c>
      <c r="O806" s="74">
        <v>2</v>
      </c>
      <c r="P806" s="74">
        <v>76</v>
      </c>
      <c r="Q806" s="74">
        <v>40</v>
      </c>
      <c r="R806" s="74">
        <v>9</v>
      </c>
      <c r="S806" s="74">
        <v>2</v>
      </c>
      <c r="T806" s="74">
        <f t="shared" ref="T806:T808" si="84">R806*$U$5/60+S806</f>
        <v>77</v>
      </c>
      <c r="U806" s="75"/>
    </row>
    <row r="807" spans="1:34" x14ac:dyDescent="0.25">
      <c r="A807" s="3" t="s">
        <v>30</v>
      </c>
      <c r="B807" s="3">
        <v>0</v>
      </c>
      <c r="C807" s="3">
        <v>0.3</v>
      </c>
      <c r="D807" s="3">
        <v>449</v>
      </c>
      <c r="E807" s="3">
        <v>2.5299999999999998</v>
      </c>
      <c r="F807" s="3">
        <v>4</v>
      </c>
      <c r="G807" s="171"/>
      <c r="H807" s="3">
        <v>4320</v>
      </c>
      <c r="I807" s="171"/>
      <c r="J807" s="5"/>
      <c r="K807" s="140"/>
      <c r="L807" s="141"/>
      <c r="M807" s="140"/>
      <c r="N807" s="141"/>
      <c r="O807" s="74">
        <v>3</v>
      </c>
      <c r="P807" s="74">
        <v>95</v>
      </c>
      <c r="Q807" s="74">
        <v>67</v>
      </c>
      <c r="R807" s="74">
        <v>5</v>
      </c>
      <c r="S807" s="74">
        <v>4</v>
      </c>
      <c r="T807" s="74">
        <f t="shared" si="84"/>
        <v>45.666666666666664</v>
      </c>
      <c r="U807" s="75"/>
    </row>
    <row r="808" spans="1:34" ht="15.75" thickBo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O808" s="74">
        <v>4</v>
      </c>
      <c r="P808" s="74">
        <v>140</v>
      </c>
      <c r="Q808" s="94">
        <v>85</v>
      </c>
      <c r="R808" s="94">
        <v>8</v>
      </c>
      <c r="S808" s="94">
        <v>3</v>
      </c>
      <c r="T808" s="74">
        <f t="shared" si="84"/>
        <v>69.666666666666671</v>
      </c>
    </row>
    <row r="809" spans="1:34" x14ac:dyDescent="0.25">
      <c r="A809" s="142" t="s">
        <v>36</v>
      </c>
      <c r="B809" s="144" t="s">
        <v>106</v>
      </c>
      <c r="C809" s="144"/>
      <c r="D809" s="144"/>
      <c r="E809" s="144"/>
      <c r="F809" s="20" t="s">
        <v>27</v>
      </c>
      <c r="G809" s="20" t="s">
        <v>28</v>
      </c>
      <c r="H809" s="20" t="s">
        <v>29</v>
      </c>
      <c r="I809" s="20" t="s">
        <v>30</v>
      </c>
    </row>
    <row r="810" spans="1:34" ht="15.75" thickBot="1" x14ac:dyDescent="0.3">
      <c r="A810" s="143"/>
      <c r="B810" s="145"/>
      <c r="C810" s="145"/>
      <c r="D810" s="145"/>
      <c r="E810" s="145"/>
      <c r="F810" s="20">
        <v>126</v>
      </c>
      <c r="G810" s="26">
        <v>91</v>
      </c>
      <c r="H810" s="26">
        <v>67</v>
      </c>
      <c r="I810" s="26">
        <v>201</v>
      </c>
    </row>
    <row r="811" spans="1:34" ht="15.75" thickBot="1" x14ac:dyDescent="0.3">
      <c r="A811" s="143"/>
      <c r="B811" s="145"/>
      <c r="C811" s="145"/>
      <c r="D811" s="145"/>
      <c r="E811" s="145"/>
      <c r="F811" s="7"/>
      <c r="G811" s="146" t="s">
        <v>27</v>
      </c>
      <c r="H811" s="147"/>
      <c r="I811" s="147"/>
      <c r="J811" s="147"/>
      <c r="K811" s="148"/>
      <c r="L811" s="149" t="s">
        <v>28</v>
      </c>
      <c r="M811" s="150"/>
      <c r="N811" s="150"/>
      <c r="O811" s="150"/>
      <c r="P811" s="151"/>
      <c r="Q811" s="152" t="s">
        <v>29</v>
      </c>
      <c r="R811" s="153"/>
      <c r="S811" s="153"/>
      <c r="T811" s="153"/>
      <c r="U811" s="154"/>
      <c r="V811" s="155" t="s">
        <v>30</v>
      </c>
      <c r="W811" s="156"/>
      <c r="X811" s="156"/>
      <c r="Y811" s="156"/>
      <c r="Z811" s="157"/>
      <c r="AA811" s="158" t="s">
        <v>42</v>
      </c>
      <c r="AB811" s="159"/>
      <c r="AC811" s="160" t="s">
        <v>44</v>
      </c>
      <c r="AD811" s="162" t="s">
        <v>47</v>
      </c>
      <c r="AE811" s="163"/>
      <c r="AF811" s="163"/>
      <c r="AG811" s="164"/>
      <c r="AH811" s="138" t="s">
        <v>62</v>
      </c>
    </row>
    <row r="812" spans="1:34" ht="36.75" x14ac:dyDescent="0.25">
      <c r="A812" s="21" t="s">
        <v>32</v>
      </c>
      <c r="B812" s="22" t="s">
        <v>37</v>
      </c>
      <c r="C812" s="23" t="s">
        <v>33</v>
      </c>
      <c r="D812" s="22" t="s">
        <v>38</v>
      </c>
      <c r="E812" s="22" t="s">
        <v>34</v>
      </c>
      <c r="F812" s="25" t="s">
        <v>35</v>
      </c>
      <c r="G812" s="27" t="s">
        <v>39</v>
      </c>
      <c r="H812" s="10" t="s">
        <v>40</v>
      </c>
      <c r="I812" s="10" t="s">
        <v>45</v>
      </c>
      <c r="J812" s="10" t="s">
        <v>46</v>
      </c>
      <c r="K812" s="28" t="s">
        <v>41</v>
      </c>
      <c r="L812" s="30" t="s">
        <v>39</v>
      </c>
      <c r="M812" s="13" t="s">
        <v>40</v>
      </c>
      <c r="N812" s="13" t="s">
        <v>45</v>
      </c>
      <c r="O812" s="13" t="s">
        <v>46</v>
      </c>
      <c r="P812" s="31" t="s">
        <v>41</v>
      </c>
      <c r="Q812" s="33" t="s">
        <v>39</v>
      </c>
      <c r="R812" s="12" t="s">
        <v>40</v>
      </c>
      <c r="S812" s="12" t="s">
        <v>45</v>
      </c>
      <c r="T812" s="12" t="s">
        <v>46</v>
      </c>
      <c r="U812" s="34" t="s">
        <v>41</v>
      </c>
      <c r="V812" s="36" t="s">
        <v>39</v>
      </c>
      <c r="W812" s="11" t="s">
        <v>40</v>
      </c>
      <c r="X812" s="11" t="s">
        <v>45</v>
      </c>
      <c r="Y812" s="11" t="s">
        <v>46</v>
      </c>
      <c r="Z812" s="37" t="s">
        <v>41</v>
      </c>
      <c r="AA812" s="39" t="s">
        <v>41</v>
      </c>
      <c r="AB812" s="40" t="s">
        <v>43</v>
      </c>
      <c r="AC812" s="161"/>
      <c r="AD812" s="43" t="s">
        <v>27</v>
      </c>
      <c r="AE812" s="1" t="s">
        <v>28</v>
      </c>
      <c r="AF812" s="1" t="s">
        <v>29</v>
      </c>
      <c r="AG812" s="1" t="s">
        <v>30</v>
      </c>
      <c r="AH812" s="139"/>
    </row>
    <row r="813" spans="1:34" x14ac:dyDescent="0.25">
      <c r="A813" s="24">
        <v>4</v>
      </c>
      <c r="B813" s="9">
        <v>8</v>
      </c>
      <c r="C813" s="9">
        <v>500</v>
      </c>
      <c r="D813" s="9">
        <v>3</v>
      </c>
      <c r="E813" s="48">
        <f>B813*C813/60+D813</f>
        <v>69.666666666666671</v>
      </c>
      <c r="F813" s="100">
        <v>140</v>
      </c>
      <c r="G813" s="49">
        <f>B$5*(1-AD813*C$5)</f>
        <v>0</v>
      </c>
      <c r="H813" s="50">
        <f>G813+E813</f>
        <v>69.666666666666671</v>
      </c>
      <c r="I813" s="15">
        <f>(H813/D$5)^E$5</f>
        <v>0.11516869637804684</v>
      </c>
      <c r="J813" s="15">
        <f>(G813/D$5)^E$5</f>
        <v>0</v>
      </c>
      <c r="K813" s="29">
        <f>1-EXP(J813-I813)</f>
        <v>0.10878421365041502</v>
      </c>
      <c r="L813" s="51">
        <f>B$6*(1-AE813*C$6)</f>
        <v>0</v>
      </c>
      <c r="M813" s="52">
        <f>L813+E813</f>
        <v>69.666666666666671</v>
      </c>
      <c r="N813" s="17">
        <f>(M813/D$6)^E$6</f>
        <v>8.7861714115895329E-2</v>
      </c>
      <c r="O813" s="17">
        <f>(L813/D$6)^E$6</f>
        <v>0</v>
      </c>
      <c r="P813" s="32">
        <f>1-EXP(O813-N813)</f>
        <v>8.4112477717763534E-2</v>
      </c>
      <c r="Q813" s="53">
        <f>B$7*(1-AF813*C$7)</f>
        <v>0</v>
      </c>
      <c r="R813" s="54">
        <f>Q813+E813</f>
        <v>69.666666666666671</v>
      </c>
      <c r="S813" s="16">
        <f>(R813/D$7)^E$7</f>
        <v>0.17421448251746105</v>
      </c>
      <c r="T813" s="16">
        <f>(Q813/D$7)^E$7</f>
        <v>0</v>
      </c>
      <c r="U813" s="35">
        <f>1-EXP(T813-S813)</f>
        <v>0.15988331200899064</v>
      </c>
      <c r="V813" s="55">
        <f>B$8*(1-AG813*C$8)</f>
        <v>0</v>
      </c>
      <c r="W813" s="56">
        <f>V813+E813</f>
        <v>69.666666666666671</v>
      </c>
      <c r="X813" s="18">
        <f>(W813/D$8)^E$8</f>
        <v>8.9674731846197935E-3</v>
      </c>
      <c r="Y813" s="18">
        <f>(V813/D$8)^E$8</f>
        <v>0</v>
      </c>
      <c r="Z813" s="38">
        <f>1-EXP(Y813-X813)</f>
        <v>8.9273853154187011E-3</v>
      </c>
      <c r="AA813" s="41">
        <f>K813*P813*U813*Z813</f>
        <v>1.3060317021926209E-5</v>
      </c>
      <c r="AB813" s="42">
        <f>1-AA813</f>
        <v>0.99998693968297803</v>
      </c>
      <c r="AC813" s="47">
        <f>(AD813*F$5+AE813*F$6+AF813*F$7+AG813*F$8)+E813</f>
        <v>69.666666666666671</v>
      </c>
      <c r="AD813" s="43">
        <v>0</v>
      </c>
      <c r="AE813" s="1">
        <v>0</v>
      </c>
      <c r="AF813" s="1">
        <v>0</v>
      </c>
      <c r="AG813" s="1">
        <v>0</v>
      </c>
      <c r="AH813" s="74">
        <v>85</v>
      </c>
    </row>
    <row r="814" spans="1:34" x14ac:dyDescent="0.25">
      <c r="A814" s="76">
        <v>2</v>
      </c>
      <c r="B814" s="58">
        <v>9</v>
      </c>
      <c r="C814" s="9">
        <v>500</v>
      </c>
      <c r="D814" s="58">
        <v>2</v>
      </c>
      <c r="E814" s="48">
        <f t="shared" ref="E814:E816" si="85">B814*C814/60+D814</f>
        <v>77</v>
      </c>
      <c r="F814" s="100">
        <v>76</v>
      </c>
      <c r="G814" s="49">
        <f>H813*(1-AD814*C$5)</f>
        <v>69.666666666666671</v>
      </c>
      <c r="H814" s="50">
        <f>G814+E814</f>
        <v>146.66666666666669</v>
      </c>
      <c r="I814" s="15">
        <f>(H814/D$5)^E$5</f>
        <v>0.41749810283193062</v>
      </c>
      <c r="J814" s="15">
        <f>(G814/D$5)^E$5</f>
        <v>0.11516869637804684</v>
      </c>
      <c r="K814" s="29">
        <f>1-EXP(J814-I814)</f>
        <v>0.26090543773277519</v>
      </c>
      <c r="L814" s="51">
        <f>M813*(1-AE814*C$6)</f>
        <v>69.666666666666671</v>
      </c>
      <c r="M814" s="52">
        <f>L814+E814</f>
        <v>146.66666666666669</v>
      </c>
      <c r="N814" s="17">
        <f>(M814/D$6)^E$6</f>
        <v>0.35613584348340649</v>
      </c>
      <c r="O814" s="17">
        <f>(L814/D$6)^E$6</f>
        <v>8.7861714115895329E-2</v>
      </c>
      <c r="P814" s="32">
        <f>1-EXP(O814-N814)</f>
        <v>0.23530187384577195</v>
      </c>
      <c r="Q814" s="53">
        <f>R813*(1-AF814*C$7)</f>
        <v>48.766666666666666</v>
      </c>
      <c r="R814" s="54">
        <f>Q814+E814</f>
        <v>125.76666666666667</v>
      </c>
      <c r="S814" s="16">
        <f>(R814/D$7)^E$7</f>
        <v>0.73194376667254746</v>
      </c>
      <c r="T814" s="16">
        <f>(Q814/D$7)^E$7</f>
        <v>7.3227210826217928E-2</v>
      </c>
      <c r="U814" s="35">
        <f>1-EXP(T814-S814)</f>
        <v>0.48248488981633086</v>
      </c>
      <c r="V814" s="55">
        <f>W813*(1-AG814*C$8)</f>
        <v>69.666666666666671</v>
      </c>
      <c r="W814" s="56">
        <f>V814+E814</f>
        <v>146.66666666666669</v>
      </c>
      <c r="X814" s="18">
        <f>(W814/D$8)^E$8</f>
        <v>5.897056032024859E-2</v>
      </c>
      <c r="Y814" s="18">
        <f>(V814/D$8)^E$8</f>
        <v>8.9674731846197935E-3</v>
      </c>
      <c r="Z814" s="38">
        <f>1-EXP(Y814-X814)</f>
        <v>4.8773512069000713E-2</v>
      </c>
      <c r="AA814" s="41">
        <f>K814*P814*U814*Z814</f>
        <v>1.444695308858557E-3</v>
      </c>
      <c r="AB814" s="42">
        <f>1-AA814</f>
        <v>0.9985553046911414</v>
      </c>
      <c r="AC814" s="47">
        <f>AF814*F$7+E814+AC813</f>
        <v>154.66666666666669</v>
      </c>
      <c r="AD814" s="43">
        <v>0</v>
      </c>
      <c r="AE814" s="1">
        <v>0</v>
      </c>
      <c r="AF814" s="1">
        <v>1</v>
      </c>
      <c r="AG814" s="1">
        <v>0</v>
      </c>
      <c r="AH814" s="74">
        <v>40</v>
      </c>
    </row>
    <row r="815" spans="1:34" x14ac:dyDescent="0.25">
      <c r="A815" s="24">
        <v>3</v>
      </c>
      <c r="B815" s="9">
        <v>5</v>
      </c>
      <c r="C815" s="58">
        <v>500</v>
      </c>
      <c r="D815" s="58">
        <v>4</v>
      </c>
      <c r="E815" s="48">
        <f t="shared" si="85"/>
        <v>45.666666666666664</v>
      </c>
      <c r="F815" s="100">
        <v>95</v>
      </c>
      <c r="G815" s="68">
        <f>H814*(1-AD815*C$5)</f>
        <v>102.66666666666667</v>
      </c>
      <c r="H815" s="69">
        <f>G815+E815</f>
        <v>148.33333333333334</v>
      </c>
      <c r="I815" s="70">
        <f>(H815/D$5)^E$5</f>
        <v>0.42573974432201439</v>
      </c>
      <c r="J815" s="70">
        <f>(G815/D$5)^E$5</f>
        <v>0.22525483181366224</v>
      </c>
      <c r="K815" s="29">
        <f>1-EXP(J815-I815)</f>
        <v>0.18166616346248299</v>
      </c>
      <c r="L815" s="51">
        <f>M814*(1-AE815*C$6)</f>
        <v>102.66666666666667</v>
      </c>
      <c r="M815" s="52">
        <f>L815+E815</f>
        <v>148.33333333333334</v>
      </c>
      <c r="N815" s="17">
        <f>(M815/D$6)^E$6</f>
        <v>0.36378222468595994</v>
      </c>
      <c r="O815" s="17">
        <f>(L815/D$6)^E$6</f>
        <v>0.18213776408892768</v>
      </c>
      <c r="P815" s="32">
        <f>1-EXP(O815-N815)</f>
        <v>0.16610222876808511</v>
      </c>
      <c r="Q815" s="53">
        <f>R814*(1-AF815*C$7)</f>
        <v>88.036666666666662</v>
      </c>
      <c r="R815" s="54">
        <f>Q815+E815</f>
        <v>133.70333333333332</v>
      </c>
      <c r="S815" s="16">
        <f>(R815/D$7)^E$7</f>
        <v>0.84929596217177861</v>
      </c>
      <c r="T815" s="16">
        <f>(Q815/D$7)^E$7</f>
        <v>0.30765639997636068</v>
      </c>
      <c r="U815" s="35">
        <f>1-EXP(T815-S815)</f>
        <v>0.41820641679644921</v>
      </c>
      <c r="V815" s="55">
        <f>W814*(1-AG815*C$8)</f>
        <v>146.66666666666669</v>
      </c>
      <c r="W815" s="56">
        <f>V815+E815</f>
        <v>192.33333333333334</v>
      </c>
      <c r="X815" s="18">
        <f>(W815/D$8)^E$8</f>
        <v>0.11707786390726455</v>
      </c>
      <c r="Y815" s="18">
        <f>(V815/D$8)^E$8</f>
        <v>5.897056032024859E-2</v>
      </c>
      <c r="Z815" s="38">
        <f>1-EXP(Y815-X815)</f>
        <v>5.6451304155022197E-2</v>
      </c>
      <c r="AA815" s="41">
        <f>K815*P815*U815*Z815</f>
        <v>7.1238403196552814E-4</v>
      </c>
      <c r="AB815" s="42">
        <f>1-AA815</f>
        <v>0.9992876159680345</v>
      </c>
      <c r="AC815" s="47">
        <f>(AF815*F$7)+E815+AC814</f>
        <v>208.33333333333334</v>
      </c>
      <c r="AD815" s="77">
        <v>1</v>
      </c>
      <c r="AE815" s="78">
        <v>1</v>
      </c>
      <c r="AF815" s="78">
        <v>1</v>
      </c>
      <c r="AG815" s="78">
        <v>0</v>
      </c>
      <c r="AH815" s="74">
        <v>67</v>
      </c>
    </row>
    <row r="816" spans="1:34" ht="15.75" thickBot="1" x14ac:dyDescent="0.3">
      <c r="A816" s="57">
        <v>1</v>
      </c>
      <c r="B816" s="58">
        <v>6</v>
      </c>
      <c r="C816" s="58">
        <v>500</v>
      </c>
      <c r="D816" s="9">
        <v>5</v>
      </c>
      <c r="E816" s="48">
        <f t="shared" si="85"/>
        <v>55</v>
      </c>
      <c r="F816" s="100">
        <v>106</v>
      </c>
      <c r="G816" s="68">
        <f>H815*(1-AD816*C$5)</f>
        <v>103.83333333333333</v>
      </c>
      <c r="H816" s="69">
        <f>G816+E816</f>
        <v>158.83333333333331</v>
      </c>
      <c r="I816" s="70">
        <f>(H816/D$5)^E$5</f>
        <v>0.47921477720274397</v>
      </c>
      <c r="J816" s="70">
        <f>(G816/D$5)^E$5</f>
        <v>0.22970148571490079</v>
      </c>
      <c r="K816" s="29">
        <f>1-EXP(J816-I816)</f>
        <v>0.22082007570005269</v>
      </c>
      <c r="L816" s="51">
        <f>M815*(1-AE816*C$6)</f>
        <v>103.83333333333333</v>
      </c>
      <c r="M816" s="52">
        <f>L816+E816</f>
        <v>158.83333333333331</v>
      </c>
      <c r="N816" s="17">
        <f>(M816/D$6)^E$6</f>
        <v>0.41369751790718035</v>
      </c>
      <c r="O816" s="17">
        <f>(L816/D$6)^E$6</f>
        <v>0.1860483358583474</v>
      </c>
      <c r="P816" s="32">
        <f>1-EXP(O816-N816)</f>
        <v>0.203596396486313</v>
      </c>
      <c r="Q816" s="53">
        <f>R815*(1-AF816*C$7)</f>
        <v>93.592333333333315</v>
      </c>
      <c r="R816" s="54">
        <f>Q816+E816</f>
        <v>148.59233333333333</v>
      </c>
      <c r="S816" s="16">
        <f>(R816/D$7)^E$7</f>
        <v>1.0977025849232636</v>
      </c>
      <c r="T816" s="16">
        <f>(Q816/D$7)^E$7</f>
        <v>0.35698280405347543</v>
      </c>
      <c r="U816" s="35">
        <f>1-EXP(T816-S816)</f>
        <v>0.5232293783850529</v>
      </c>
      <c r="V816" s="55">
        <f>W815*(1-AG816*C$8)</f>
        <v>134.63333333333333</v>
      </c>
      <c r="W816" s="56">
        <f>V816+E816</f>
        <v>189.63333333333333</v>
      </c>
      <c r="X816" s="18">
        <f>(W816/D$8)^E$8</f>
        <v>0.11296421670190258</v>
      </c>
      <c r="Y816" s="18">
        <f>(V816/D$8)^E$8</f>
        <v>4.7486791978556986E-2</v>
      </c>
      <c r="Z816" s="38">
        <f>1-EXP(Y816-X816)</f>
        <v>6.337980901910989E-2</v>
      </c>
      <c r="AA816" s="41">
        <f>K816*P816*U816*Z816</f>
        <v>1.490910895333795E-3</v>
      </c>
      <c r="AB816" s="42">
        <f>1-AA816</f>
        <v>0.99850908910466618</v>
      </c>
      <c r="AC816" s="47">
        <f>(AF816*F$7)+E816+AC815</f>
        <v>271.33333333333337</v>
      </c>
      <c r="AD816" s="80">
        <v>1</v>
      </c>
      <c r="AE816" s="45">
        <v>1</v>
      </c>
      <c r="AF816" s="81">
        <v>1</v>
      </c>
      <c r="AG816" s="45">
        <v>1</v>
      </c>
      <c r="AH816" s="94">
        <v>110</v>
      </c>
    </row>
    <row r="817" spans="1:33" ht="18.75" x14ac:dyDescent="0.3">
      <c r="A817" s="132" t="s">
        <v>53</v>
      </c>
      <c r="B817" s="132"/>
      <c r="C817" s="132"/>
      <c r="D817" s="132"/>
      <c r="E817" s="132"/>
      <c r="F817" s="132"/>
      <c r="G817" s="132"/>
      <c r="H817" s="132"/>
      <c r="I817" s="132"/>
      <c r="J817" s="132"/>
      <c r="AG817" s="46"/>
    </row>
    <row r="818" spans="1:33" ht="15.75" x14ac:dyDescent="0.25">
      <c r="A818" s="19" t="s">
        <v>82</v>
      </c>
      <c r="B818" s="60" t="s">
        <v>49</v>
      </c>
      <c r="C818" s="61" t="s">
        <v>50</v>
      </c>
      <c r="D818" s="19" t="s">
        <v>48</v>
      </c>
      <c r="E818" s="60" t="s">
        <v>57</v>
      </c>
      <c r="F818" s="61" t="s">
        <v>50</v>
      </c>
      <c r="G818" s="19" t="s">
        <v>54</v>
      </c>
      <c r="H818" s="60" t="s">
        <v>61</v>
      </c>
      <c r="I818" s="61" t="s">
        <v>50</v>
      </c>
      <c r="J818" s="19" t="s">
        <v>58</v>
      </c>
      <c r="K818" s="83" t="s">
        <v>84</v>
      </c>
      <c r="L818" s="61" t="s">
        <v>50</v>
      </c>
      <c r="M818" s="61" t="s">
        <v>85</v>
      </c>
      <c r="O818" s="174" t="s">
        <v>64</v>
      </c>
      <c r="P818" s="174"/>
      <c r="Q818" s="175" t="s">
        <v>109</v>
      </c>
      <c r="R818" s="175"/>
    </row>
    <row r="819" spans="1:33" ht="24.75" x14ac:dyDescent="0.25">
      <c r="A819" s="61" t="s">
        <v>51</v>
      </c>
      <c r="B819" s="1">
        <f>AA813</f>
        <v>1.3060317021926209E-5</v>
      </c>
      <c r="C819" s="59">
        <f>MAX(AC813+1*L806-F813,0)</f>
        <v>0</v>
      </c>
      <c r="D819" s="62" t="s">
        <v>55</v>
      </c>
      <c r="E819" s="1">
        <f>AA813*AA814</f>
        <v>1.8868178733782354E-8</v>
      </c>
      <c r="F819" s="1">
        <f>MAX(AC814+2*L806-F814,0)</f>
        <v>102.66666666666669</v>
      </c>
      <c r="G819" s="62" t="s">
        <v>59</v>
      </c>
      <c r="H819" s="1">
        <f>AA813*AA814*AA815</f>
        <v>1.3441389242218106E-11</v>
      </c>
      <c r="I819" s="1">
        <f>AC815+3*L806-F815</f>
        <v>149.33333333333334</v>
      </c>
      <c r="J819" s="62" t="s">
        <v>83</v>
      </c>
      <c r="K819" s="1">
        <f>AA813*AA814*AA815*AA816</f>
        <v>2.0039913669645436E-14</v>
      </c>
      <c r="L819" s="1">
        <f>AC816+4*L806-F816</f>
        <v>213.33333333333337</v>
      </c>
      <c r="M819" s="1">
        <f>B819*C819*AH813+E819*F819*AH814+H819*I819*AH815+K819*L819*AH816</f>
        <v>7.7620276516538459E-5</v>
      </c>
      <c r="O819" s="1" t="s">
        <v>27</v>
      </c>
      <c r="P819" s="1">
        <f>2*H804</f>
        <v>3640</v>
      </c>
      <c r="Q819" s="1">
        <f>(K813*(1-P813)*(1-U813)*(1-Z813))+(P813*(1-K813)*(1-U813)*(1-Z813))+(U813*(1-K813)*(1-P813)*(1-Z813))+(Z813*(1-K813)*(1-P813)*(1-U813))</f>
        <v>0.28083409477630866</v>
      </c>
      <c r="R819" s="1">
        <f>Q819*(L$7*(J$5*K$5+L$5)+I$5)</f>
        <v>9897.9976703909997</v>
      </c>
    </row>
    <row r="820" spans="1:33" ht="24.75" x14ac:dyDescent="0.25">
      <c r="A820" s="62" t="s">
        <v>52</v>
      </c>
      <c r="B820" s="1">
        <f>AB813</f>
        <v>0.99998693968297803</v>
      </c>
      <c r="C820" s="59">
        <f>MAX(AC813-F813,0)</f>
        <v>0</v>
      </c>
      <c r="D820" s="62" t="s">
        <v>56</v>
      </c>
      <c r="E820" s="1">
        <f>AA813*AB814+AA814*AB813</f>
        <v>1.4577178895230157E-3</v>
      </c>
      <c r="F820" s="1">
        <f>MAX(AC814+1*L806-F814,0)</f>
        <v>90.666666666666686</v>
      </c>
      <c r="G820" s="62" t="s">
        <v>60</v>
      </c>
      <c r="H820" s="1">
        <f>AA813*AA814*AB815+AA814*AA815*AB813+AA813*AA815*AB814</f>
        <v>1.0573096849512263E-6</v>
      </c>
      <c r="I820" s="1">
        <f>AC815+2*L806-F815</f>
        <v>137.33333333333334</v>
      </c>
      <c r="J820" s="62" t="s">
        <v>59</v>
      </c>
      <c r="K820">
        <f>AB813*AA814*AA815*AA816+AB814*AA813*AA815*AA816*+AB815*AA813*AA814*AA816+AB816*AA813*AA814*AA815</f>
        <v>1.5478138076725148E-9</v>
      </c>
      <c r="L820" s="1">
        <f>AC816+3*L806-F816</f>
        <v>201.33333333333337</v>
      </c>
      <c r="M820" s="1">
        <f>B820*C820*AH813+E820*F820*AH814+H820*I820*AH815+K820*L820*AH816</f>
        <v>5.2964198171010626</v>
      </c>
      <c r="O820" s="1" t="s">
        <v>28</v>
      </c>
      <c r="P820" s="1">
        <f>2*H805</f>
        <v>5440</v>
      </c>
      <c r="Q820" s="1">
        <f t="shared" ref="Q820:Q822" si="86">(K814*(1-P814)*(1-U814)*(1-Z814))+(P814*(1-K814)*(1-U814)*(1-Z814))+(U814*(1-K814)*(1-P814)*(1-Z814))+(Z814*(1-K814)*(1-P814)*(1-U814))</f>
        <v>0.45748556504227245</v>
      </c>
      <c r="R820" s="1">
        <f t="shared" ref="R820:R822" si="87">Q820*(L$7*(J$5*K$5+L$5)+I$5)</f>
        <v>16124.078739914892</v>
      </c>
    </row>
    <row r="821" spans="1:33" ht="24.75" x14ac:dyDescent="0.25">
      <c r="A821" s="1"/>
      <c r="B821" s="1"/>
      <c r="C821" s="1"/>
      <c r="D821" s="62" t="s">
        <v>52</v>
      </c>
      <c r="E821" s="1">
        <f>AB813*AB814</f>
        <v>0.99854226324229811</v>
      </c>
      <c r="F821" s="59">
        <f>MAX(AC814-F814,0)</f>
        <v>78.666666666666686</v>
      </c>
      <c r="G821" s="62" t="s">
        <v>56</v>
      </c>
      <c r="H821" s="1">
        <f>AA813*AB814*AB815+AA814*AB813*AB815*+AA815*AB813*AB814</f>
        <v>1.4059090408614137E-5</v>
      </c>
      <c r="I821" s="1">
        <f>AC815+1*L806-F815</f>
        <v>125.33333333333334</v>
      </c>
      <c r="J821" s="62" t="s">
        <v>60</v>
      </c>
      <c r="K821" s="1">
        <f>AA813*AA814*AB815*AB816 + AA813*AA815*AB814*AB816 + AA813*AA816*AB814*AB815 + AA814*AA815*AB813*AB816 + AA814*AA816*AB813*AB815 + AA815*AA816*AB813*AB814</f>
        <v>4.28806542152295E-6</v>
      </c>
      <c r="L821" s="1">
        <f>AC816+2*L806-F816</f>
        <v>189.33333333333337</v>
      </c>
      <c r="M821" s="1">
        <f>B821*C821*AH813+E821*F821*AH814+H821*I821*AH815+K821*L821*AH816</f>
        <v>3142.2870199801359</v>
      </c>
      <c r="O821" s="1" t="s">
        <v>29</v>
      </c>
      <c r="P821" s="1">
        <f>3*(F806*(J804*K804+L804)+H806)</f>
        <v>42300</v>
      </c>
      <c r="Q821" s="1">
        <f t="shared" si="86"/>
        <v>0.44946703708091013</v>
      </c>
      <c r="R821" s="1">
        <f t="shared" si="87"/>
        <v>15841.465721916677</v>
      </c>
    </row>
    <row r="822" spans="1:33" ht="24.75" x14ac:dyDescent="0.25">
      <c r="A822" s="1"/>
      <c r="B822" s="1"/>
      <c r="C822" s="1"/>
      <c r="D822" s="1"/>
      <c r="E822" s="1"/>
      <c r="F822" s="1"/>
      <c r="G822" s="62" t="s">
        <v>52</v>
      </c>
      <c r="H822" s="1">
        <f>AB813*AB814*AB815</f>
        <v>0.99783091767872156</v>
      </c>
      <c r="I822" s="63">
        <f>AC815-F815</f>
        <v>113.33333333333334</v>
      </c>
      <c r="J822" s="62" t="s">
        <v>56</v>
      </c>
      <c r="K822" s="1">
        <f>AA813*AB814*AB815*AB816+AA814*AB813*AB815*AB816+AA815*AB813*AB814*AB816+AA816*AB813*AB814*AB815</f>
        <v>3.6524696529289659E-3</v>
      </c>
      <c r="L822" s="1">
        <f>AC816+1*L806-F816</f>
        <v>177.33333333333337</v>
      </c>
      <c r="M822" s="1">
        <f>B822*C822*AH813+E822*F822*AH814+H822*I822*AH815+K822*L822*AH816</f>
        <v>7648.1102762702267</v>
      </c>
      <c r="O822" s="1" t="s">
        <v>30</v>
      </c>
      <c r="P822" s="1">
        <f>1*H807</f>
        <v>4320</v>
      </c>
      <c r="Q822" s="1">
        <f t="shared" si="86"/>
        <v>0.47223046631257271</v>
      </c>
      <c r="R822" s="1">
        <f t="shared" si="87"/>
        <v>16643.762785186624</v>
      </c>
    </row>
    <row r="823" spans="1:33" ht="30" x14ac:dyDescent="0.25">
      <c r="I823" s="84"/>
      <c r="J823" s="62" t="s">
        <v>52</v>
      </c>
      <c r="K823" s="85">
        <f>AB813*AB814*AB815*AB816</f>
        <v>0.99634324069185343</v>
      </c>
      <c r="L823" s="1">
        <f>AC816+0*L806-F816</f>
        <v>165.33333333333337</v>
      </c>
      <c r="M823" s="1">
        <f>B823*C823*AH813+E823*F823*AH814+H823*I823*AH815+K823*L823*AH816</f>
        <v>18120.162404049177</v>
      </c>
      <c r="O823" s="64" t="s">
        <v>65</v>
      </c>
      <c r="P823" s="65">
        <f>SUM(P819:P822)</f>
        <v>55700</v>
      </c>
      <c r="Q823" s="96" t="s">
        <v>108</v>
      </c>
      <c r="R823" s="97">
        <f>SUM(R819:R822)</f>
        <v>58507.304917409187</v>
      </c>
    </row>
    <row r="824" spans="1:33" x14ac:dyDescent="0.25">
      <c r="L824" s="176" t="s">
        <v>63</v>
      </c>
      <c r="M824" s="177">
        <f>SUM(M819:M823)</f>
        <v>28915.856197736917</v>
      </c>
    </row>
    <row r="825" spans="1:33" x14ac:dyDescent="0.25">
      <c r="L825" s="176"/>
      <c r="M825" s="177"/>
    </row>
    <row r="826" spans="1:33" x14ac:dyDescent="0.25">
      <c r="A826" s="178" t="s">
        <v>90</v>
      </c>
      <c r="B826" s="178"/>
      <c r="C826" s="178"/>
      <c r="D826" s="178"/>
      <c r="E826" s="178"/>
      <c r="F826" s="178"/>
      <c r="G826" s="178"/>
      <c r="H826" s="178"/>
      <c r="I826" s="178"/>
      <c r="J826" s="178"/>
      <c r="K826" s="178"/>
      <c r="L826" s="178"/>
      <c r="M826" s="178"/>
      <c r="N826" s="178"/>
    </row>
    <row r="827" spans="1:33" ht="15.75" x14ac:dyDescent="0.25">
      <c r="A827" s="87" t="s">
        <v>86</v>
      </c>
      <c r="B827" s="62" t="s">
        <v>49</v>
      </c>
      <c r="C827" s="90" t="s">
        <v>103</v>
      </c>
      <c r="D827" s="62" t="s">
        <v>88</v>
      </c>
      <c r="E827" s="87" t="s">
        <v>75</v>
      </c>
      <c r="F827" s="62" t="s">
        <v>57</v>
      </c>
      <c r="G827" s="90" t="s">
        <v>87</v>
      </c>
      <c r="H827" s="62" t="s">
        <v>88</v>
      </c>
      <c r="I827" s="87" t="s">
        <v>76</v>
      </c>
      <c r="J827" s="62" t="s">
        <v>61</v>
      </c>
      <c r="K827" s="90" t="s">
        <v>102</v>
      </c>
      <c r="L827" s="62" t="s">
        <v>88</v>
      </c>
      <c r="M827" s="87" t="s">
        <v>77</v>
      </c>
      <c r="N827" s="62" t="s">
        <v>84</v>
      </c>
      <c r="O827" s="90" t="s">
        <v>78</v>
      </c>
      <c r="P827" s="62" t="s">
        <v>88</v>
      </c>
    </row>
    <row r="828" spans="1:33" ht="24.75" x14ac:dyDescent="0.25">
      <c r="A828" s="62" t="s">
        <v>51</v>
      </c>
      <c r="B828" s="86">
        <v>1.3060317021926209E-5</v>
      </c>
      <c r="C828" s="86">
        <f>AC813+1*L806</f>
        <v>81.666666666666671</v>
      </c>
      <c r="D828" s="86">
        <f>MAX(B828*1.5*((C828-F813)*500/2),0)</f>
        <v>0</v>
      </c>
      <c r="E828" s="62" t="s">
        <v>55</v>
      </c>
      <c r="F828" s="86">
        <v>1.8868178733782354E-8</v>
      </c>
      <c r="G828" s="86">
        <f>AC814+2*L806</f>
        <v>178.66666666666669</v>
      </c>
      <c r="H828" s="86">
        <f>F828*1.5*((G828-F814)*500/2+(G828-F815)*500+(G828-F816)*500)</f>
        <v>2.9387188377866021E-3</v>
      </c>
      <c r="I828" s="62" t="s">
        <v>59</v>
      </c>
      <c r="J828" s="86">
        <v>1.3441389242218106E-11</v>
      </c>
      <c r="K828" s="86">
        <f>AC815+3*L806</f>
        <v>244.33333333333334</v>
      </c>
      <c r="L828" s="86">
        <f>J828*1.5*((K828-G828)*500/2+(K828-G828)*500)</f>
        <v>9.9298263026886239E-7</v>
      </c>
      <c r="M828" s="62" t="s">
        <v>83</v>
      </c>
      <c r="N828" s="86">
        <v>2.0039913669645436E-14</v>
      </c>
      <c r="O828" s="86">
        <f>AC816+4*L806</f>
        <v>319.33333333333337</v>
      </c>
      <c r="P828" s="86">
        <f>N828*1.5*((O828-K828)*500/2)</f>
        <v>5.636225719587781E-10</v>
      </c>
    </row>
    <row r="829" spans="1:33" ht="24.75" x14ac:dyDescent="0.25">
      <c r="A829" s="62" t="s">
        <v>52</v>
      </c>
      <c r="B829" s="86">
        <v>0.99998693968297803</v>
      </c>
      <c r="C829" s="88">
        <f>AC813</f>
        <v>69.666666666666671</v>
      </c>
      <c r="D829" s="86">
        <f>MAX(B829*1.5*((C829-F813)*500/2),0)</f>
        <v>0</v>
      </c>
      <c r="E829" s="62" t="s">
        <v>56</v>
      </c>
      <c r="F829" s="86">
        <v>1.4577178895230157E-3</v>
      </c>
      <c r="G829" s="86">
        <f>AC814+1*L806</f>
        <v>166.66666666666669</v>
      </c>
      <c r="H829" s="86">
        <f>F829*1.5*((G829-F814)*500/2+(G829-F815)*500+(G829-F816)*500)</f>
        <v>194.24090877894187</v>
      </c>
      <c r="I829" s="62" t="s">
        <v>60</v>
      </c>
      <c r="J829" s="86">
        <v>1.0573096849512263E-6</v>
      </c>
      <c r="K829" s="86">
        <f>AC815+2*L806</f>
        <v>232.33333333333334</v>
      </c>
      <c r="L829" s="86">
        <f>J829*1.5*((K829-G829)*500/2+(K829-G829)*500)</f>
        <v>7.8108752975771828E-2</v>
      </c>
      <c r="M829" s="62" t="s">
        <v>59</v>
      </c>
      <c r="N829" s="86">
        <v>1.5478138076725148E-9</v>
      </c>
      <c r="O829" s="86">
        <f>AC816+3*L806</f>
        <v>307.33333333333337</v>
      </c>
      <c r="P829" s="86">
        <f>N829*1.5*((O829-K829)*500/2)</f>
        <v>4.3532263340789499E-5</v>
      </c>
    </row>
    <row r="830" spans="1:33" x14ac:dyDescent="0.25">
      <c r="A830" s="86"/>
      <c r="B830" s="86"/>
      <c r="C830" s="89" t="s">
        <v>89</v>
      </c>
      <c r="D830" s="89">
        <f>SUM(D828:D829)</f>
        <v>0</v>
      </c>
      <c r="E830" s="62" t="s">
        <v>52</v>
      </c>
      <c r="F830" s="86">
        <v>0.99854226324229811</v>
      </c>
      <c r="G830" s="86">
        <f>AC814+0*L806</f>
        <v>154.66666666666669</v>
      </c>
      <c r="H830" s="86">
        <f>F830*1.5*((G830-F814)*500/2+(G830-F815)*500+(G830-F816)*500)</f>
        <v>110588.55565408454</v>
      </c>
      <c r="I830" s="62" t="s">
        <v>56</v>
      </c>
      <c r="J830" s="86">
        <v>1.4059090408614137E-5</v>
      </c>
      <c r="K830" s="86">
        <f>AC815+1*L806</f>
        <v>220.33333333333334</v>
      </c>
      <c r="L830" s="86">
        <f>J830*1.5*((K830-G830)*500/2+(K830-G830)*500)</f>
        <v>1.0386153039363692</v>
      </c>
      <c r="M830" s="62" t="s">
        <v>60</v>
      </c>
      <c r="N830" s="86">
        <v>4.28806542152295E-6</v>
      </c>
      <c r="O830" s="86">
        <f>AC816+2*L806</f>
        <v>295.33333333333337</v>
      </c>
      <c r="P830" s="86">
        <f>N830*1.5*((O830-K830)*500/2)</f>
        <v>0.12060183998033303</v>
      </c>
    </row>
    <row r="831" spans="1:33" x14ac:dyDescent="0.25">
      <c r="A831" s="86"/>
      <c r="B831" s="86"/>
      <c r="C831" s="86"/>
      <c r="D831" s="86"/>
      <c r="E831" s="86"/>
      <c r="F831" s="86"/>
      <c r="G831" s="89" t="s">
        <v>79</v>
      </c>
      <c r="H831" s="89">
        <f>SUM(H828:H830)</f>
        <v>110782.79950158233</v>
      </c>
      <c r="I831" s="62" t="s">
        <v>52</v>
      </c>
      <c r="J831" s="86">
        <v>0.99783091767872156</v>
      </c>
      <c r="K831" s="86">
        <f>AC815+0*L806</f>
        <v>208.33333333333334</v>
      </c>
      <c r="L831" s="86">
        <f>J831*1.5*((K831-G830)*500/2+(K831-G830)*500)</f>
        <v>60244.041654852808</v>
      </c>
      <c r="M831" s="62" t="s">
        <v>56</v>
      </c>
      <c r="N831" s="86">
        <v>3.6524696529289659E-3</v>
      </c>
      <c r="O831" s="86">
        <f>AC816+1*L806</f>
        <v>283.33333333333337</v>
      </c>
      <c r="P831" s="86">
        <f>N831*1.5*((O831-K831)*500/2)</f>
        <v>102.7257089886272</v>
      </c>
    </row>
    <row r="832" spans="1:33" x14ac:dyDescent="0.25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9" t="s">
        <v>79</v>
      </c>
      <c r="L832" s="89">
        <f>SUM(L828:L831)</f>
        <v>60245.158379902707</v>
      </c>
      <c r="M832" s="62" t="s">
        <v>52</v>
      </c>
      <c r="N832" s="86">
        <v>0.99634324069185343</v>
      </c>
      <c r="O832" s="86">
        <f>AC816+0*L806</f>
        <v>271.33333333333337</v>
      </c>
      <c r="P832" s="86">
        <f>N832*1.5*((O832-K831)*500/2)</f>
        <v>23538.609061345047</v>
      </c>
      <c r="Q832" s="179" t="s">
        <v>80</v>
      </c>
      <c r="R832" s="179"/>
      <c r="S832" s="180">
        <f>D830+H831+L832+P833</f>
        <v>194669.4132971915</v>
      </c>
      <c r="T832" s="180"/>
    </row>
    <row r="833" spans="1:22" x14ac:dyDescent="0.25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9" t="s">
        <v>79</v>
      </c>
      <c r="P833" s="89">
        <f>SUM(P828:P832)</f>
        <v>23641.455415706481</v>
      </c>
      <c r="Q833" s="179"/>
      <c r="R833" s="179"/>
      <c r="S833" s="180"/>
      <c r="T833" s="180"/>
    </row>
    <row r="834" spans="1:22" x14ac:dyDescent="0.25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</row>
    <row r="835" spans="1:22" x14ac:dyDescent="0.25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</row>
    <row r="836" spans="1:22" x14ac:dyDescent="0.25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</row>
    <row r="837" spans="1:22" ht="24.75" thickBot="1" x14ac:dyDescent="0.3">
      <c r="O837" s="131" t="s">
        <v>81</v>
      </c>
      <c r="P837" s="131"/>
      <c r="Q837" s="131">
        <f>(R823+P823+M824+S832)/AC816</f>
        <v>1244.935777932448</v>
      </c>
      <c r="R837" s="131"/>
    </row>
    <row r="838" spans="1:22" x14ac:dyDescent="0.25">
      <c r="A838" s="181" t="s">
        <v>127</v>
      </c>
      <c r="B838" s="182"/>
    </row>
    <row r="839" spans="1:22" ht="15.75" thickBot="1" x14ac:dyDescent="0.3">
      <c r="A839" s="183"/>
      <c r="B839" s="184"/>
    </row>
    <row r="840" spans="1:22" ht="21" x14ac:dyDescent="0.35">
      <c r="A840" s="185" t="s">
        <v>14</v>
      </c>
      <c r="B840" s="185"/>
      <c r="C840" s="165"/>
      <c r="D840" s="165"/>
      <c r="E840" s="165"/>
      <c r="F840" s="165"/>
      <c r="G840" s="165"/>
      <c r="H840" s="165"/>
      <c r="I840" s="165"/>
      <c r="J840" s="165"/>
      <c r="K840" s="165"/>
      <c r="L840" s="165"/>
      <c r="M840" s="165"/>
      <c r="O840" s="166" t="s">
        <v>72</v>
      </c>
      <c r="P840" s="166"/>
      <c r="Q840" s="166"/>
      <c r="R840" s="166"/>
      <c r="S840" s="166"/>
      <c r="T840" s="166"/>
      <c r="U840" s="166"/>
      <c r="V840" s="166"/>
    </row>
    <row r="841" spans="1:22" ht="36" x14ac:dyDescent="0.25">
      <c r="A841" s="4" t="s">
        <v>15</v>
      </c>
      <c r="B841" s="4" t="s">
        <v>16</v>
      </c>
      <c r="C841" s="4" t="s">
        <v>31</v>
      </c>
      <c r="D841" s="6" t="s">
        <v>17</v>
      </c>
      <c r="E841" s="6" t="s">
        <v>18</v>
      </c>
      <c r="F841" s="6" t="s">
        <v>19</v>
      </c>
      <c r="G841" s="6" t="s">
        <v>20</v>
      </c>
      <c r="H841" s="6" t="s">
        <v>21</v>
      </c>
      <c r="I841" s="6" t="s">
        <v>22</v>
      </c>
      <c r="J841" s="6" t="s">
        <v>23</v>
      </c>
      <c r="K841" s="6" t="s">
        <v>24</v>
      </c>
      <c r="L841" s="6" t="s">
        <v>25</v>
      </c>
      <c r="M841" s="6" t="s">
        <v>26</v>
      </c>
      <c r="N841" s="8"/>
      <c r="O841" s="167" t="s">
        <v>32</v>
      </c>
      <c r="P841" s="167" t="s">
        <v>35</v>
      </c>
      <c r="Q841" s="167" t="s">
        <v>66</v>
      </c>
      <c r="R841" s="99" t="s">
        <v>67</v>
      </c>
      <c r="S841" s="99" t="s">
        <v>68</v>
      </c>
      <c r="T841" s="167" t="s">
        <v>69</v>
      </c>
      <c r="U841" s="71" t="s">
        <v>33</v>
      </c>
      <c r="V841" s="99" t="s">
        <v>70</v>
      </c>
    </row>
    <row r="842" spans="1:22" x14ac:dyDescent="0.25">
      <c r="A842" s="3" t="s">
        <v>27</v>
      </c>
      <c r="B842" s="3">
        <v>0</v>
      </c>
      <c r="C842" s="3">
        <v>0.3</v>
      </c>
      <c r="D842" s="3">
        <v>243</v>
      </c>
      <c r="E842" s="3">
        <v>1.73</v>
      </c>
      <c r="F842" s="3">
        <v>5</v>
      </c>
      <c r="G842" s="169">
        <v>12</v>
      </c>
      <c r="H842" s="3">
        <v>1820</v>
      </c>
      <c r="I842" s="169">
        <v>19645</v>
      </c>
      <c r="J842" s="3">
        <v>20</v>
      </c>
      <c r="K842" s="3">
        <v>40</v>
      </c>
      <c r="L842" s="3">
        <v>500</v>
      </c>
      <c r="M842" s="3">
        <v>1000</v>
      </c>
      <c r="O842" s="168"/>
      <c r="P842" s="168"/>
      <c r="Q842" s="168"/>
      <c r="R842" s="72" t="s">
        <v>71</v>
      </c>
      <c r="S842" s="72" t="s">
        <v>71</v>
      </c>
      <c r="T842" s="168"/>
      <c r="U842" s="73">
        <v>500</v>
      </c>
      <c r="V842" s="3">
        <v>1.5</v>
      </c>
    </row>
    <row r="843" spans="1:22" x14ac:dyDescent="0.25">
      <c r="A843" s="3" t="s">
        <v>28</v>
      </c>
      <c r="B843" s="3">
        <v>0</v>
      </c>
      <c r="C843" s="3">
        <v>0.3</v>
      </c>
      <c r="D843" s="3">
        <v>254</v>
      </c>
      <c r="E843" s="3">
        <v>1.88</v>
      </c>
      <c r="F843" s="3">
        <v>3</v>
      </c>
      <c r="G843" s="170"/>
      <c r="H843" s="3">
        <v>2720</v>
      </c>
      <c r="I843" s="170"/>
      <c r="J843" s="5"/>
      <c r="K843" s="5"/>
      <c r="L843" s="5"/>
      <c r="M843" s="5"/>
      <c r="O843" s="74">
        <v>1</v>
      </c>
      <c r="P843" s="74">
        <v>106</v>
      </c>
      <c r="Q843" s="74">
        <v>110</v>
      </c>
      <c r="R843" s="74">
        <v>6</v>
      </c>
      <c r="S843" s="74">
        <v>5</v>
      </c>
      <c r="T843" s="74">
        <f>R843*$U$5/60+S843</f>
        <v>55</v>
      </c>
      <c r="U843" s="75"/>
    </row>
    <row r="844" spans="1:22" x14ac:dyDescent="0.25">
      <c r="A844" s="3" t="s">
        <v>29</v>
      </c>
      <c r="B844" s="3">
        <v>0</v>
      </c>
      <c r="C844" s="3">
        <v>0.3</v>
      </c>
      <c r="D844" s="3">
        <v>143</v>
      </c>
      <c r="E844" s="3">
        <v>2.4300000000000002</v>
      </c>
      <c r="F844" s="3">
        <v>8</v>
      </c>
      <c r="G844" s="170"/>
      <c r="H844" s="3">
        <v>3700</v>
      </c>
      <c r="I844" s="170"/>
      <c r="J844" s="5"/>
      <c r="K844" s="140" t="s">
        <v>73</v>
      </c>
      <c r="L844" s="141">
        <v>12</v>
      </c>
      <c r="M844" s="140" t="s">
        <v>74</v>
      </c>
      <c r="N844" s="141">
        <v>19645</v>
      </c>
      <c r="O844" s="74">
        <v>2</v>
      </c>
      <c r="P844" s="74">
        <v>76</v>
      </c>
      <c r="Q844" s="74">
        <v>40</v>
      </c>
      <c r="R844" s="74">
        <v>9</v>
      </c>
      <c r="S844" s="74">
        <v>2</v>
      </c>
      <c r="T844" s="74">
        <f t="shared" ref="T844:T846" si="88">R844*$U$5/60+S844</f>
        <v>77</v>
      </c>
      <c r="U844" s="75"/>
    </row>
    <row r="845" spans="1:22" x14ac:dyDescent="0.25">
      <c r="A845" s="3" t="s">
        <v>30</v>
      </c>
      <c r="B845" s="3">
        <v>0</v>
      </c>
      <c r="C845" s="3">
        <v>0.3</v>
      </c>
      <c r="D845" s="3">
        <v>449</v>
      </c>
      <c r="E845" s="3">
        <v>2.5299999999999998</v>
      </c>
      <c r="F845" s="3">
        <v>4</v>
      </c>
      <c r="G845" s="171"/>
      <c r="H845" s="3">
        <v>4320</v>
      </c>
      <c r="I845" s="171"/>
      <c r="J845" s="5"/>
      <c r="K845" s="140"/>
      <c r="L845" s="141"/>
      <c r="M845" s="140"/>
      <c r="N845" s="141"/>
      <c r="O845" s="74">
        <v>3</v>
      </c>
      <c r="P845" s="74">
        <v>95</v>
      </c>
      <c r="Q845" s="74">
        <v>67</v>
      </c>
      <c r="R845" s="74">
        <v>5</v>
      </c>
      <c r="S845" s="74">
        <v>4</v>
      </c>
      <c r="T845" s="74">
        <f t="shared" si="88"/>
        <v>45.666666666666664</v>
      </c>
      <c r="U845" s="75"/>
    </row>
    <row r="846" spans="1:22" ht="15.75" thickBo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O846" s="74">
        <v>4</v>
      </c>
      <c r="P846" s="74">
        <v>140</v>
      </c>
      <c r="Q846" s="94">
        <v>85</v>
      </c>
      <c r="R846" s="94">
        <v>8</v>
      </c>
      <c r="S846" s="94">
        <v>3</v>
      </c>
      <c r="T846" s="74">
        <f t="shared" si="88"/>
        <v>69.666666666666671</v>
      </c>
    </row>
    <row r="847" spans="1:22" x14ac:dyDescent="0.25">
      <c r="A847" s="142" t="s">
        <v>36</v>
      </c>
      <c r="B847" s="144" t="s">
        <v>106</v>
      </c>
      <c r="C847" s="144"/>
      <c r="D847" s="144"/>
      <c r="E847" s="144"/>
      <c r="F847" s="20" t="s">
        <v>27</v>
      </c>
      <c r="G847" s="20" t="s">
        <v>28</v>
      </c>
      <c r="H847" s="20" t="s">
        <v>29</v>
      </c>
      <c r="I847" s="20" t="s">
        <v>30</v>
      </c>
    </row>
    <row r="848" spans="1:22" ht="15.75" thickBot="1" x14ac:dyDescent="0.3">
      <c r="A848" s="143"/>
      <c r="B848" s="145"/>
      <c r="C848" s="145"/>
      <c r="D848" s="145"/>
      <c r="E848" s="145"/>
      <c r="F848" s="20">
        <v>126</v>
      </c>
      <c r="G848" s="26">
        <v>91</v>
      </c>
      <c r="H848" s="26">
        <v>67</v>
      </c>
      <c r="I848" s="26">
        <v>201</v>
      </c>
    </row>
    <row r="849" spans="1:34" ht="15.75" thickBot="1" x14ac:dyDescent="0.3">
      <c r="A849" s="143"/>
      <c r="B849" s="145"/>
      <c r="C849" s="145"/>
      <c r="D849" s="145"/>
      <c r="E849" s="145"/>
      <c r="F849" s="7"/>
      <c r="G849" s="146" t="s">
        <v>27</v>
      </c>
      <c r="H849" s="147"/>
      <c r="I849" s="147"/>
      <c r="J849" s="147"/>
      <c r="K849" s="148"/>
      <c r="L849" s="149" t="s">
        <v>28</v>
      </c>
      <c r="M849" s="150"/>
      <c r="N849" s="150"/>
      <c r="O849" s="150"/>
      <c r="P849" s="151"/>
      <c r="Q849" s="152" t="s">
        <v>29</v>
      </c>
      <c r="R849" s="153"/>
      <c r="S849" s="153"/>
      <c r="T849" s="153"/>
      <c r="U849" s="154"/>
      <c r="V849" s="155" t="s">
        <v>30</v>
      </c>
      <c r="W849" s="156"/>
      <c r="X849" s="156"/>
      <c r="Y849" s="156"/>
      <c r="Z849" s="157"/>
      <c r="AA849" s="158" t="s">
        <v>42</v>
      </c>
      <c r="AB849" s="159"/>
      <c r="AC849" s="160" t="s">
        <v>44</v>
      </c>
      <c r="AD849" s="162" t="s">
        <v>47</v>
      </c>
      <c r="AE849" s="163"/>
      <c r="AF849" s="163"/>
      <c r="AG849" s="164"/>
      <c r="AH849" s="138" t="s">
        <v>62</v>
      </c>
    </row>
    <row r="850" spans="1:34" ht="36.75" x14ac:dyDescent="0.25">
      <c r="A850" s="21" t="s">
        <v>32</v>
      </c>
      <c r="B850" s="22" t="s">
        <v>37</v>
      </c>
      <c r="C850" s="23" t="s">
        <v>33</v>
      </c>
      <c r="D850" s="22" t="s">
        <v>38</v>
      </c>
      <c r="E850" s="22" t="s">
        <v>34</v>
      </c>
      <c r="F850" s="25" t="s">
        <v>35</v>
      </c>
      <c r="G850" s="27" t="s">
        <v>39</v>
      </c>
      <c r="H850" s="10" t="s">
        <v>40</v>
      </c>
      <c r="I850" s="10" t="s">
        <v>45</v>
      </c>
      <c r="J850" s="10" t="s">
        <v>46</v>
      </c>
      <c r="K850" s="28" t="s">
        <v>41</v>
      </c>
      <c r="L850" s="30" t="s">
        <v>39</v>
      </c>
      <c r="M850" s="13" t="s">
        <v>40</v>
      </c>
      <c r="N850" s="13" t="s">
        <v>45</v>
      </c>
      <c r="O850" s="13" t="s">
        <v>46</v>
      </c>
      <c r="P850" s="31" t="s">
        <v>41</v>
      </c>
      <c r="Q850" s="33" t="s">
        <v>39</v>
      </c>
      <c r="R850" s="12" t="s">
        <v>40</v>
      </c>
      <c r="S850" s="12" t="s">
        <v>45</v>
      </c>
      <c r="T850" s="12" t="s">
        <v>46</v>
      </c>
      <c r="U850" s="34" t="s">
        <v>41</v>
      </c>
      <c r="V850" s="36" t="s">
        <v>39</v>
      </c>
      <c r="W850" s="11" t="s">
        <v>40</v>
      </c>
      <c r="X850" s="11" t="s">
        <v>45</v>
      </c>
      <c r="Y850" s="11" t="s">
        <v>46</v>
      </c>
      <c r="Z850" s="37" t="s">
        <v>41</v>
      </c>
      <c r="AA850" s="39" t="s">
        <v>41</v>
      </c>
      <c r="AB850" s="40" t="s">
        <v>43</v>
      </c>
      <c r="AC850" s="161"/>
      <c r="AD850" s="43" t="s">
        <v>27</v>
      </c>
      <c r="AE850" s="1" t="s">
        <v>28</v>
      </c>
      <c r="AF850" s="1" t="s">
        <v>29</v>
      </c>
      <c r="AG850" s="1" t="s">
        <v>30</v>
      </c>
      <c r="AH850" s="139"/>
    </row>
    <row r="851" spans="1:34" x14ac:dyDescent="0.25">
      <c r="A851" s="24">
        <v>4</v>
      </c>
      <c r="B851" s="9">
        <v>8</v>
      </c>
      <c r="C851" s="9">
        <v>500</v>
      </c>
      <c r="D851" s="9">
        <v>3</v>
      </c>
      <c r="E851" s="48">
        <f>B851*C851/60+D851</f>
        <v>69.666666666666671</v>
      </c>
      <c r="F851" s="100">
        <v>140</v>
      </c>
      <c r="G851" s="49">
        <f>B$5*(1-AD851*C$5)</f>
        <v>0</v>
      </c>
      <c r="H851" s="50">
        <f>G851+E851</f>
        <v>69.666666666666671</v>
      </c>
      <c r="I851" s="15">
        <f>(H851/D$5)^E$5</f>
        <v>0.11516869637804684</v>
      </c>
      <c r="J851" s="15">
        <f>(G851/D$5)^E$5</f>
        <v>0</v>
      </c>
      <c r="K851" s="29">
        <f>1-EXP(J851-I851)</f>
        <v>0.10878421365041502</v>
      </c>
      <c r="L851" s="51">
        <f>B$6*(1-AE851*C$6)</f>
        <v>0</v>
      </c>
      <c r="M851" s="52">
        <f>L851+E851</f>
        <v>69.666666666666671</v>
      </c>
      <c r="N851" s="17">
        <f>(M851/D$6)^E$6</f>
        <v>8.7861714115895329E-2</v>
      </c>
      <c r="O851" s="17">
        <f>(L851/D$6)^E$6</f>
        <v>0</v>
      </c>
      <c r="P851" s="32">
        <f>1-EXP(O851-N851)</f>
        <v>8.4112477717763534E-2</v>
      </c>
      <c r="Q851" s="53">
        <f>B$7*(1-AF851*C$7)</f>
        <v>0</v>
      </c>
      <c r="R851" s="54">
        <f>Q851+E851</f>
        <v>69.666666666666671</v>
      </c>
      <c r="S851" s="16">
        <f>(R851/D$7)^E$7</f>
        <v>0.17421448251746105</v>
      </c>
      <c r="T851" s="16">
        <f>(Q851/D$7)^E$7</f>
        <v>0</v>
      </c>
      <c r="U851" s="35">
        <f>1-EXP(T851-S851)</f>
        <v>0.15988331200899064</v>
      </c>
      <c r="V851" s="55">
        <f>B$8*(1-AG851*C$8)</f>
        <v>0</v>
      </c>
      <c r="W851" s="56">
        <f>V851+E851</f>
        <v>69.666666666666671</v>
      </c>
      <c r="X851" s="18">
        <f>(W851/D$8)^E$8</f>
        <v>8.9674731846197935E-3</v>
      </c>
      <c r="Y851" s="18">
        <f>(V851/D$8)^E$8</f>
        <v>0</v>
      </c>
      <c r="Z851" s="38">
        <f>1-EXP(Y851-X851)</f>
        <v>8.9273853154187011E-3</v>
      </c>
      <c r="AA851" s="41">
        <f>K851*P851*U851*Z851</f>
        <v>1.3060317021926209E-5</v>
      </c>
      <c r="AB851" s="42">
        <f>1-AA851</f>
        <v>0.99998693968297803</v>
      </c>
      <c r="AC851" s="47">
        <f>(AD851*F$5+AE851*F$6+AF851*F$7+AG851*F$8)+E851</f>
        <v>69.666666666666671</v>
      </c>
      <c r="AD851" s="43">
        <v>0</v>
      </c>
      <c r="AE851" s="1">
        <v>0</v>
      </c>
      <c r="AF851" s="1">
        <v>0</v>
      </c>
      <c r="AG851" s="1">
        <v>0</v>
      </c>
      <c r="AH851" s="74">
        <v>85</v>
      </c>
    </row>
    <row r="852" spans="1:34" x14ac:dyDescent="0.25">
      <c r="A852" s="76">
        <v>3</v>
      </c>
      <c r="B852" s="58">
        <v>5</v>
      </c>
      <c r="C852" s="9">
        <v>500</v>
      </c>
      <c r="D852" s="58">
        <v>4</v>
      </c>
      <c r="E852" s="48">
        <f t="shared" ref="E852:E854" si="89">B852*C852/60+D852</f>
        <v>45.666666666666664</v>
      </c>
      <c r="F852" s="100">
        <v>95</v>
      </c>
      <c r="G852" s="49">
        <f>H851*(1-AD852*C$5)</f>
        <v>69.666666666666671</v>
      </c>
      <c r="H852" s="50">
        <f>G852+E852</f>
        <v>115.33333333333334</v>
      </c>
      <c r="I852" s="15">
        <f>(H852/D$5)^E$5</f>
        <v>0.27547552976184858</v>
      </c>
      <c r="J852" s="15">
        <f>(G852/D$5)^E$5</f>
        <v>0.11516869637804684</v>
      </c>
      <c r="K852" s="29">
        <f>1-EXP(J852-I852)</f>
        <v>0.14811763708687153</v>
      </c>
      <c r="L852" s="51">
        <f>M851*(1-AE852*C$6)</f>
        <v>69.666666666666671</v>
      </c>
      <c r="M852" s="52">
        <f>L852+E852</f>
        <v>115.33333333333334</v>
      </c>
      <c r="N852" s="17">
        <f>(M852/D$6)^E$6</f>
        <v>0.22666669883015245</v>
      </c>
      <c r="O852" s="17">
        <f>(L852/D$6)^E$6</f>
        <v>8.7861714115895329E-2</v>
      </c>
      <c r="P852" s="32">
        <f>1-EXP(O852-N852)</f>
        <v>0.12960224722523705</v>
      </c>
      <c r="Q852" s="53">
        <f>R851*(1-AF852*C$7)</f>
        <v>48.766666666666666</v>
      </c>
      <c r="R852" s="54">
        <f>Q852+E852</f>
        <v>94.433333333333337</v>
      </c>
      <c r="S852" s="16">
        <f>(R852/D$7)^E$7</f>
        <v>0.36482782669178548</v>
      </c>
      <c r="T852" s="16">
        <f>(Q852/D$7)^E$7</f>
        <v>7.3227210826217928E-2</v>
      </c>
      <c r="U852" s="35">
        <f>1-EXP(T852-S852)</f>
        <v>0.2529331569556913</v>
      </c>
      <c r="V852" s="55">
        <f>W851*(1-AG852*C$8)</f>
        <v>69.666666666666671</v>
      </c>
      <c r="W852" s="56">
        <f>V852+E852</f>
        <v>115.33333333333334</v>
      </c>
      <c r="X852" s="18">
        <f>(W852/D$8)^E$8</f>
        <v>3.2104248826077181E-2</v>
      </c>
      <c r="Y852" s="18">
        <f>(V852/D$8)^E$8</f>
        <v>8.9674731846197935E-3</v>
      </c>
      <c r="Z852" s="38">
        <f>1-EXP(Y852-X852)</f>
        <v>2.2871172789123873E-2</v>
      </c>
      <c r="AA852" s="41">
        <f>K852*P852*U852*Z852</f>
        <v>1.1104870714678702E-4</v>
      </c>
      <c r="AB852" s="42">
        <f>1-AA852</f>
        <v>0.99988895129285327</v>
      </c>
      <c r="AC852" s="47">
        <f>AF852*F$7+E852+AC851</f>
        <v>123.33333333333334</v>
      </c>
      <c r="AD852" s="43">
        <v>0</v>
      </c>
      <c r="AE852" s="1">
        <v>0</v>
      </c>
      <c r="AF852" s="1">
        <v>1</v>
      </c>
      <c r="AG852" s="1">
        <v>0</v>
      </c>
      <c r="AH852" s="74">
        <v>67</v>
      </c>
    </row>
    <row r="853" spans="1:34" x14ac:dyDescent="0.25">
      <c r="A853" s="24">
        <v>1</v>
      </c>
      <c r="B853" s="9">
        <v>6</v>
      </c>
      <c r="C853" s="58">
        <v>500</v>
      </c>
      <c r="D853" s="58">
        <v>5</v>
      </c>
      <c r="E853" s="48">
        <f t="shared" si="89"/>
        <v>55</v>
      </c>
      <c r="F853" s="100">
        <v>106</v>
      </c>
      <c r="G853" s="68">
        <f>H852*(1-AD853*C$5)</f>
        <v>80.733333333333334</v>
      </c>
      <c r="H853" s="69">
        <f>G853+E853</f>
        <v>135.73333333333335</v>
      </c>
      <c r="I853" s="70">
        <f>(H853/D$5)^E$5</f>
        <v>0.36513109280337663</v>
      </c>
      <c r="J853" s="70">
        <f>(G853/D$5)^E$5</f>
        <v>0.14862868526677991</v>
      </c>
      <c r="K853" s="29">
        <f>1-EXP(J853-I853)</f>
        <v>0.19466940394254484</v>
      </c>
      <c r="L853" s="51">
        <f>M852*(1-AE853*C$6)</f>
        <v>80.733333333333334</v>
      </c>
      <c r="M853" s="52">
        <f>L853+E853</f>
        <v>135.73333333333335</v>
      </c>
      <c r="N853" s="17">
        <f>(M853/D$6)^E$6</f>
        <v>0.30786708540357188</v>
      </c>
      <c r="O853" s="17">
        <f>(L853/D$6)^E$6</f>
        <v>0.11592364675943075</v>
      </c>
      <c r="P853" s="32">
        <f>1-EXP(O853-N853)</f>
        <v>0.17464644971265575</v>
      </c>
      <c r="Q853" s="53">
        <f>R852*(1-AF853*C$7)</f>
        <v>66.103333333333339</v>
      </c>
      <c r="R853" s="54">
        <f>Q853+E853</f>
        <v>121.10333333333334</v>
      </c>
      <c r="S853" s="16">
        <f>(R853/D$7)^E$7</f>
        <v>0.66773285391512938</v>
      </c>
      <c r="T853" s="16">
        <f>(Q853/D$7)^E$7</f>
        <v>0.15334732104004425</v>
      </c>
      <c r="U853" s="35">
        <f>1-EXP(T853-S853)</f>
        <v>0.40213214808704101</v>
      </c>
      <c r="V853" s="55">
        <f>W852*(1-AG853*C$8)</f>
        <v>115.33333333333334</v>
      </c>
      <c r="W853" s="56">
        <f>V853+E853</f>
        <v>170.33333333333334</v>
      </c>
      <c r="X853" s="18">
        <f>(W853/D$8)^E$8</f>
        <v>8.6100338756432887E-2</v>
      </c>
      <c r="Y853" s="18">
        <f>(V853/D$8)^E$8</f>
        <v>3.2104248826077181E-2</v>
      </c>
      <c r="Z853" s="38">
        <f>1-EXP(Y853-X853)</f>
        <v>5.2564188965439573E-2</v>
      </c>
      <c r="AA853" s="41">
        <f>K853*P853*U853*Z853</f>
        <v>7.1864800172569653E-4</v>
      </c>
      <c r="AB853" s="42">
        <f>1-AA853</f>
        <v>0.99928135199827428</v>
      </c>
      <c r="AC853" s="47">
        <f>(AF853*F$7)+E853+AC852</f>
        <v>186.33333333333334</v>
      </c>
      <c r="AD853" s="77">
        <v>1</v>
      </c>
      <c r="AE853" s="78">
        <v>1</v>
      </c>
      <c r="AF853" s="78">
        <v>1</v>
      </c>
      <c r="AG853" s="78">
        <v>0</v>
      </c>
      <c r="AH853" s="74">
        <v>110</v>
      </c>
    </row>
    <row r="854" spans="1:34" ht="15.75" thickBot="1" x14ac:dyDescent="0.3">
      <c r="A854" s="57">
        <v>2</v>
      </c>
      <c r="B854" s="58">
        <v>9</v>
      </c>
      <c r="C854" s="58">
        <v>500</v>
      </c>
      <c r="D854" s="9">
        <v>2</v>
      </c>
      <c r="E854" s="48">
        <f t="shared" si="89"/>
        <v>77</v>
      </c>
      <c r="F854" s="100">
        <v>76</v>
      </c>
      <c r="G854" s="68">
        <f>H853*(1-AD854*C$5)</f>
        <v>95.013333333333335</v>
      </c>
      <c r="H854" s="69">
        <f>G854+E854</f>
        <v>172.01333333333332</v>
      </c>
      <c r="I854" s="70">
        <f>(H854/D$5)^E$5</f>
        <v>0.55007714400590135</v>
      </c>
      <c r="J854" s="70">
        <f>(G854/D$5)^E$5</f>
        <v>0.19700099794818257</v>
      </c>
      <c r="K854" s="29">
        <f>1-EXP(J854-I854)</f>
        <v>0.2974763030694797</v>
      </c>
      <c r="L854" s="51">
        <f>M853*(1-AE854*C$6)</f>
        <v>95.013333333333335</v>
      </c>
      <c r="M854" s="52">
        <f>L854+E854</f>
        <v>172.01333333333332</v>
      </c>
      <c r="N854" s="17">
        <f>(M854/D$6)^E$6</f>
        <v>0.4805840832144625</v>
      </c>
      <c r="O854" s="17">
        <f>(L854/D$6)^E$6</f>
        <v>0.15745178026315176</v>
      </c>
      <c r="P854" s="32">
        <f>1-EXP(O854-N854)</f>
        <v>0.27612192317372397</v>
      </c>
      <c r="Q854" s="53">
        <f>R853*(1-AF854*C$7)</f>
        <v>84.772333333333336</v>
      </c>
      <c r="R854" s="54">
        <f>Q854+E854</f>
        <v>161.77233333333334</v>
      </c>
      <c r="S854" s="16">
        <f>(R854/D$7)^E$7</f>
        <v>1.3494933708968957</v>
      </c>
      <c r="T854" s="16">
        <f>(Q854/D$7)^E$7</f>
        <v>0.28066676066574781</v>
      </c>
      <c r="U854" s="35">
        <f>1-EXP(T854-S854)</f>
        <v>0.65658876366940633</v>
      </c>
      <c r="V854" s="55">
        <f>W853*(1-AG854*C$8)</f>
        <v>119.23333333333333</v>
      </c>
      <c r="W854" s="56">
        <f>V854+E854</f>
        <v>196.23333333333335</v>
      </c>
      <c r="X854" s="18">
        <f>(W854/D$8)^E$8</f>
        <v>0.12317764407834959</v>
      </c>
      <c r="Y854" s="18">
        <f>(V854/D$8)^E$8</f>
        <v>3.4922305031534845E-2</v>
      </c>
      <c r="Z854" s="38">
        <f>1-EXP(Y854-X854)</f>
        <v>8.4472922935685868E-2</v>
      </c>
      <c r="AA854" s="41">
        <f>K854*P854*U854*Z854</f>
        <v>4.5557956266998193E-3</v>
      </c>
      <c r="AB854" s="42">
        <f>1-AA854</f>
        <v>0.99544420437330017</v>
      </c>
      <c r="AC854" s="47">
        <f>(AF854*F$7)+E854+AC853</f>
        <v>271.33333333333337</v>
      </c>
      <c r="AD854" s="80">
        <v>1</v>
      </c>
      <c r="AE854" s="45">
        <v>1</v>
      </c>
      <c r="AF854" s="81">
        <v>1</v>
      </c>
      <c r="AG854" s="45">
        <v>1</v>
      </c>
      <c r="AH854" s="94">
        <v>40</v>
      </c>
    </row>
    <row r="855" spans="1:34" ht="18.75" x14ac:dyDescent="0.3">
      <c r="A855" s="132" t="s">
        <v>53</v>
      </c>
      <c r="B855" s="132"/>
      <c r="C855" s="132"/>
      <c r="D855" s="132"/>
      <c r="E855" s="132"/>
      <c r="F855" s="132"/>
      <c r="G855" s="132"/>
      <c r="H855" s="132"/>
      <c r="I855" s="132"/>
      <c r="J855" s="132"/>
      <c r="AG855" s="46"/>
    </row>
    <row r="856" spans="1:34" ht="15.75" x14ac:dyDescent="0.25">
      <c r="A856" s="19" t="s">
        <v>82</v>
      </c>
      <c r="B856" s="60" t="s">
        <v>49</v>
      </c>
      <c r="C856" s="61" t="s">
        <v>50</v>
      </c>
      <c r="D856" s="19" t="s">
        <v>48</v>
      </c>
      <c r="E856" s="60" t="s">
        <v>57</v>
      </c>
      <c r="F856" s="61" t="s">
        <v>50</v>
      </c>
      <c r="G856" s="19" t="s">
        <v>54</v>
      </c>
      <c r="H856" s="60" t="s">
        <v>61</v>
      </c>
      <c r="I856" s="61" t="s">
        <v>50</v>
      </c>
      <c r="J856" s="19" t="s">
        <v>58</v>
      </c>
      <c r="K856" s="83" t="s">
        <v>84</v>
      </c>
      <c r="L856" s="61" t="s">
        <v>50</v>
      </c>
      <c r="M856" s="61" t="s">
        <v>85</v>
      </c>
      <c r="O856" s="174" t="s">
        <v>64</v>
      </c>
      <c r="P856" s="174"/>
      <c r="Q856" s="175" t="s">
        <v>109</v>
      </c>
      <c r="R856" s="175"/>
    </row>
    <row r="857" spans="1:34" ht="24.75" x14ac:dyDescent="0.25">
      <c r="A857" s="61" t="s">
        <v>51</v>
      </c>
      <c r="B857" s="1">
        <f>AA851</f>
        <v>1.3060317021926209E-5</v>
      </c>
      <c r="C857" s="59">
        <f>MAX(AC851+1*L844-F851,0)</f>
        <v>0</v>
      </c>
      <c r="D857" s="62" t="s">
        <v>55</v>
      </c>
      <c r="E857" s="1">
        <f>AA851*AA852</f>
        <v>1.4503313202120812E-9</v>
      </c>
      <c r="F857" s="1">
        <f>MAX(AC852+2*L844-F852,0)</f>
        <v>52.333333333333343</v>
      </c>
      <c r="G857" s="62" t="s">
        <v>59</v>
      </c>
      <c r="H857" s="1">
        <f>AA851*AA852*AA853</f>
        <v>1.0422777051106035E-12</v>
      </c>
      <c r="I857" s="1">
        <f>AC853+3*L844-F853</f>
        <v>116.33333333333334</v>
      </c>
      <c r="J857" s="62" t="s">
        <v>83</v>
      </c>
      <c r="K857" s="1">
        <f>AA851*AA852*AA853*AA854</f>
        <v>4.7484042107496116E-15</v>
      </c>
      <c r="L857" s="1">
        <f>AC854+4*L844-F854</f>
        <v>243.33333333333337</v>
      </c>
      <c r="M857" s="1">
        <f>B857*C857*AH851+E857*F857*AH852+H857*I857*AH853+K857*L857*AH854</f>
        <v>5.0987289506043438E-6</v>
      </c>
      <c r="O857" s="1" t="s">
        <v>27</v>
      </c>
      <c r="P857" s="1">
        <f>2*H842</f>
        <v>3640</v>
      </c>
      <c r="Q857" s="1">
        <f>(K851*(1-P851)*(1-U851)*(1-Z851))+(P851*(1-K851)*(1-U851)*(1-Z851))+(U851*(1-K851)*(1-P851)*(1-Z851))+(Z851*(1-K851)*(1-P851)*(1-U851))</f>
        <v>0.28083409477630866</v>
      </c>
      <c r="R857" s="1">
        <f>Q857*(L$7*(J$5*K$5+L$5)+I$5)</f>
        <v>9897.9976703909997</v>
      </c>
    </row>
    <row r="858" spans="1:34" ht="24.75" x14ac:dyDescent="0.25">
      <c r="A858" s="62" t="s">
        <v>52</v>
      </c>
      <c r="B858" s="1">
        <f>AB851</f>
        <v>0.99998693968297803</v>
      </c>
      <c r="C858" s="59">
        <f>MAX(AC851-F851,0)</f>
        <v>0</v>
      </c>
      <c r="D858" s="62" t="s">
        <v>56</v>
      </c>
      <c r="E858" s="1">
        <f>AA851*AB852+AA852*AB851</f>
        <v>1.2410612350607279E-4</v>
      </c>
      <c r="F858" s="1">
        <f>MAX(AC852+1*L844-F852,0)</f>
        <v>40.333333333333343</v>
      </c>
      <c r="G858" s="62" t="s">
        <v>60</v>
      </c>
      <c r="H858" s="1">
        <f>AA851*AA852*AB853+AA852*AA853*AB851+AA851*AA853*AB852</f>
        <v>9.0637906702068682E-8</v>
      </c>
      <c r="I858" s="1">
        <f>AC853+2*L844-F853</f>
        <v>104.33333333333334</v>
      </c>
      <c r="J858" s="62" t="s">
        <v>59</v>
      </c>
      <c r="K858">
        <f>AB851*AA852*AA853*AA854+AB852*AA851*AA853*AA854*+AB853*AA851*AA852*AA854+AB854*AA851*AA852*AA853</f>
        <v>3.6460773874660016E-10</v>
      </c>
      <c r="L858" s="1">
        <f>AC854+3*L844-F854</f>
        <v>231.33333333333337</v>
      </c>
      <c r="M858" s="1">
        <f>B858*C858*AH851+E858*F858*AH852+H858*I858*AH853+K858*L858*AH854</f>
        <v>0.33641970930077075</v>
      </c>
      <c r="O858" s="1" t="s">
        <v>28</v>
      </c>
      <c r="P858" s="1">
        <f>2*H843</f>
        <v>5440</v>
      </c>
      <c r="Q858" s="1">
        <f t="shared" ref="Q858:Q860" si="90">(K852*(1-P852)*(1-U852)*(1-Z852))+(P852*(1-K852)*(1-U852)*(1-Z852))+(U852*(1-K852)*(1-P852)*(1-Z852))+(Z852*(1-K852)*(1-P852)*(1-U852))</f>
        <v>0.37062787292605864</v>
      </c>
      <c r="R858" s="1">
        <f t="shared" ref="R858:R860" si="91">Q858*(L$7*(J$5*K$5+L$5)+I$5)</f>
        <v>13062.779381278937</v>
      </c>
    </row>
    <row r="859" spans="1:34" ht="24.75" x14ac:dyDescent="0.25">
      <c r="A859" s="1"/>
      <c r="B859" s="1"/>
      <c r="C859" s="1"/>
      <c r="D859" s="62" t="s">
        <v>52</v>
      </c>
      <c r="E859" s="1">
        <f>AB851*AB852</f>
        <v>0.99987589242616259</v>
      </c>
      <c r="F859" s="59">
        <f>MAX(AC852-F852,0)</f>
        <v>28.333333333333343</v>
      </c>
      <c r="G859" s="62" t="s">
        <v>56</v>
      </c>
      <c r="H859" s="1">
        <f>AA851*AB852*AB853+AA852*AB851*AB853*+AA853*AB851*AB852</f>
        <v>1.3129218603306646E-5</v>
      </c>
      <c r="I859" s="1">
        <f>AC853+1*L844-F853</f>
        <v>92.333333333333343</v>
      </c>
      <c r="J859" s="62" t="s">
        <v>60</v>
      </c>
      <c r="K859" s="1">
        <f>AA851*AA852*AB853*AB854 + AA851*AA853*AB852*AB854 + AA851*AA854*AB852*AB853 + AA852*AA853*AB851*AB854 + AA852*AA854*AB851*AB853 + AA853*AA854*AB851*AB852</f>
        <v>3.9288278820602551E-6</v>
      </c>
      <c r="L859" s="1">
        <f>AC854+2*L844-F854</f>
        <v>219.33333333333337</v>
      </c>
      <c r="M859" s="1">
        <f>B859*C859*AH851+E859*F859*AH852+H859*I859*AH853+K859*L859*AH854</f>
        <v>1898.2655538025654</v>
      </c>
      <c r="O859" s="1" t="s">
        <v>29</v>
      </c>
      <c r="P859" s="1">
        <f>3*(F844*(J842*K842+L842)+H844)</f>
        <v>42300</v>
      </c>
      <c r="Q859" s="1">
        <f t="shared" si="90"/>
        <v>0.44480857985597083</v>
      </c>
      <c r="R859" s="1">
        <f t="shared" si="91"/>
        <v>15677.278397023692</v>
      </c>
    </row>
    <row r="860" spans="1:34" ht="24.75" x14ac:dyDescent="0.25">
      <c r="A860" s="1"/>
      <c r="B860" s="1"/>
      <c r="C860" s="1"/>
      <c r="D860" s="1"/>
      <c r="E860" s="1"/>
      <c r="F860" s="1"/>
      <c r="G860" s="62" t="s">
        <v>52</v>
      </c>
      <c r="H860" s="1">
        <f>AB851*AB852*AB853</f>
        <v>0.99915733361409687</v>
      </c>
      <c r="I860" s="63">
        <f>AC853-F853</f>
        <v>80.333333333333343</v>
      </c>
      <c r="J860" s="62" t="s">
        <v>56</v>
      </c>
      <c r="K860" s="1">
        <f>AA851*AB852*AB853*AB854+AA852*AB851*AB853*AB854+AA853*AB851*AB852*AB854+AA854*AB851*AB852*AB853</f>
        <v>5.3906937549151896E-3</v>
      </c>
      <c r="L860" s="1">
        <f>AC854+1*L844-F854</f>
        <v>207.33333333333337</v>
      </c>
      <c r="M860" s="1">
        <f>B860*C860*AH851+E860*F860*AH852+H860*I860*AH853+K860*L860*AH854</f>
        <v>8873.927124910666</v>
      </c>
      <c r="O860" s="1" t="s">
        <v>30</v>
      </c>
      <c r="P860" s="1">
        <f>1*H845</f>
        <v>4320</v>
      </c>
      <c r="Q860" s="1">
        <f t="shared" si="90"/>
        <v>0.44913991657212682</v>
      </c>
      <c r="R860" s="1">
        <f t="shared" si="91"/>
        <v>15829.93635958461</v>
      </c>
    </row>
    <row r="861" spans="1:34" ht="30" x14ac:dyDescent="0.25">
      <c r="I861" s="84"/>
      <c r="J861" s="62" t="s">
        <v>52</v>
      </c>
      <c r="K861" s="85">
        <f>AB851*AB852*AB853*AB854</f>
        <v>0.9946053770032327</v>
      </c>
      <c r="L861" s="1">
        <f>AC854+0*L844-F854</f>
        <v>195.33333333333337</v>
      </c>
      <c r="M861" s="1">
        <f>B861*C861*AH851+E861*F861*AH852+H861*I861*AH853+K861*L861*AH854</f>
        <v>7771.1833456519262</v>
      </c>
      <c r="O861" s="64" t="s">
        <v>65</v>
      </c>
      <c r="P861" s="65">
        <f>SUM(P857:P860)</f>
        <v>55700</v>
      </c>
      <c r="Q861" s="96" t="s">
        <v>108</v>
      </c>
      <c r="R861" s="97">
        <f>SUM(R857:R860)</f>
        <v>54467.991808278239</v>
      </c>
    </row>
    <row r="862" spans="1:34" x14ac:dyDescent="0.25">
      <c r="L862" s="176" t="s">
        <v>63</v>
      </c>
      <c r="M862" s="177">
        <f>SUM(M857:M861)</f>
        <v>18543.712449173188</v>
      </c>
    </row>
    <row r="863" spans="1:34" x14ac:dyDescent="0.25">
      <c r="L863" s="176"/>
      <c r="M863" s="177"/>
    </row>
    <row r="864" spans="1:34" x14ac:dyDescent="0.25">
      <c r="A864" s="178" t="s">
        <v>90</v>
      </c>
      <c r="B864" s="178"/>
      <c r="C864" s="178"/>
      <c r="D864" s="178"/>
      <c r="E864" s="178"/>
      <c r="F864" s="178"/>
      <c r="G864" s="178"/>
      <c r="H864" s="178"/>
      <c r="I864" s="178"/>
      <c r="J864" s="178"/>
      <c r="K864" s="178"/>
      <c r="L864" s="178"/>
      <c r="M864" s="178"/>
      <c r="N864" s="178"/>
    </row>
    <row r="865" spans="1:22" ht="15.75" x14ac:dyDescent="0.25">
      <c r="A865" s="87" t="s">
        <v>86</v>
      </c>
      <c r="B865" s="62" t="s">
        <v>49</v>
      </c>
      <c r="C865" s="90" t="s">
        <v>103</v>
      </c>
      <c r="D865" s="62" t="s">
        <v>88</v>
      </c>
      <c r="E865" s="87" t="s">
        <v>75</v>
      </c>
      <c r="F865" s="62" t="s">
        <v>57</v>
      </c>
      <c r="G865" s="90" t="s">
        <v>87</v>
      </c>
      <c r="H865" s="62" t="s">
        <v>88</v>
      </c>
      <c r="I865" s="87" t="s">
        <v>76</v>
      </c>
      <c r="J865" s="62" t="s">
        <v>61</v>
      </c>
      <c r="K865" s="90" t="s">
        <v>102</v>
      </c>
      <c r="L865" s="62" t="s">
        <v>88</v>
      </c>
      <c r="M865" s="87" t="s">
        <v>77</v>
      </c>
      <c r="N865" s="62" t="s">
        <v>84</v>
      </c>
      <c r="O865" s="90" t="s">
        <v>78</v>
      </c>
      <c r="P865" s="62" t="s">
        <v>88</v>
      </c>
    </row>
    <row r="866" spans="1:22" ht="24.75" x14ac:dyDescent="0.25">
      <c r="A866" s="62" t="s">
        <v>51</v>
      </c>
      <c r="B866" s="86">
        <v>1.3060317021926209E-5</v>
      </c>
      <c r="C866" s="86">
        <f>AC851+1*L844</f>
        <v>81.666666666666671</v>
      </c>
      <c r="D866" s="86">
        <f>MAX(B866*1.5*((C866-F851)*500/2),0)</f>
        <v>0</v>
      </c>
      <c r="E866" s="62" t="s">
        <v>55</v>
      </c>
      <c r="F866" s="86">
        <v>1.4503313202120812E-9</v>
      </c>
      <c r="G866" s="86">
        <f>AC852+2*L844</f>
        <v>147.33333333333334</v>
      </c>
      <c r="H866" s="86">
        <f>F866*1.5*((G866-F852)*500/2+(G866-F853)*500+(G866-F854)*500)</f>
        <v>1.5101574871708299E-4</v>
      </c>
      <c r="I866" s="62" t="s">
        <v>59</v>
      </c>
      <c r="J866" s="86">
        <v>1.0422777051106035E-12</v>
      </c>
      <c r="K866" s="86">
        <f>AC853+3*L844</f>
        <v>222.33333333333334</v>
      </c>
      <c r="L866" s="86">
        <f>J866*1.5*((K866-G866)*500/2+(K866-G866)*500)</f>
        <v>8.7942181368707171E-8</v>
      </c>
      <c r="M866" s="62" t="s">
        <v>83</v>
      </c>
      <c r="N866" s="86">
        <v>4.7484042107496116E-15</v>
      </c>
      <c r="O866" s="86">
        <f>AC854+4*L844</f>
        <v>319.33333333333337</v>
      </c>
      <c r="P866" s="86">
        <f>N866*1.5*((O866-K866)*500/2)</f>
        <v>1.7272320316601718E-10</v>
      </c>
    </row>
    <row r="867" spans="1:22" ht="24.75" x14ac:dyDescent="0.25">
      <c r="A867" s="62" t="s">
        <v>52</v>
      </c>
      <c r="B867" s="86">
        <v>0.99998693968297803</v>
      </c>
      <c r="C867" s="88">
        <f>AC851</f>
        <v>69.666666666666671</v>
      </c>
      <c r="D867" s="86">
        <f>MAX(B867*1.5*((C867-F851)*500/2),0)</f>
        <v>0</v>
      </c>
      <c r="E867" s="62" t="s">
        <v>56</v>
      </c>
      <c r="F867" s="86">
        <v>1.2410612350607279E-4</v>
      </c>
      <c r="G867" s="86">
        <f>AC852+1*L844</f>
        <v>135.33333333333334</v>
      </c>
      <c r="H867" s="86">
        <f>F867*1.5*((G867-F852)*500/2+(G867-F853)*500+(G867-F854)*500)</f>
        <v>10.130162331183195</v>
      </c>
      <c r="I867" s="62" t="s">
        <v>60</v>
      </c>
      <c r="J867" s="86">
        <v>9.0637906702068682E-8</v>
      </c>
      <c r="K867" s="86">
        <f>AC853+2*L844</f>
        <v>210.33333333333334</v>
      </c>
      <c r="L867" s="86">
        <f>J867*1.5*((K867-G867)*500/2+(K867-G867)*500)</f>
        <v>7.6475733779870457E-3</v>
      </c>
      <c r="M867" s="62" t="s">
        <v>59</v>
      </c>
      <c r="N867" s="86">
        <v>3.6460773874660016E-10</v>
      </c>
      <c r="O867" s="86">
        <f>AC854+3*L844</f>
        <v>307.33333333333337</v>
      </c>
      <c r="P867" s="86">
        <f>N867*1.5*((O867-K867)*500/2)</f>
        <v>1.3262606496907585E-5</v>
      </c>
    </row>
    <row r="868" spans="1:22" x14ac:dyDescent="0.25">
      <c r="A868" s="86"/>
      <c r="B868" s="86"/>
      <c r="C868" s="89" t="s">
        <v>89</v>
      </c>
      <c r="D868" s="89">
        <f>SUM(D866:D867)</f>
        <v>0</v>
      </c>
      <c r="E868" s="62" t="s">
        <v>52</v>
      </c>
      <c r="F868" s="86">
        <v>0.99987589242616259</v>
      </c>
      <c r="G868" s="86">
        <f>AC852+0*L844</f>
        <v>123.33333333333334</v>
      </c>
      <c r="H868" s="86">
        <f>F868*1.5*((G868-F852)*500/2+(G868-F853)*500+(G868-F854)*500)</f>
        <v>59117.662139696884</v>
      </c>
      <c r="I868" s="62" t="s">
        <v>56</v>
      </c>
      <c r="J868" s="86">
        <v>1.3129218603306646E-5</v>
      </c>
      <c r="K868" s="86">
        <f>AC853+1*L844</f>
        <v>198.33333333333334</v>
      </c>
      <c r="L868" s="86">
        <f>J868*1.5*((K868-G868)*500/2+(K868-G868)*500)</f>
        <v>1.1077778196539982</v>
      </c>
      <c r="M868" s="62" t="s">
        <v>60</v>
      </c>
      <c r="N868" s="86">
        <v>3.9288278820602551E-6</v>
      </c>
      <c r="O868" s="86">
        <f>AC854+2*L844</f>
        <v>295.33333333333337</v>
      </c>
      <c r="P868" s="86">
        <f>N868*1.5*((O868-K868)*500/2)</f>
        <v>0.14291111420994182</v>
      </c>
    </row>
    <row r="869" spans="1:22" x14ac:dyDescent="0.25">
      <c r="A869" s="86"/>
      <c r="B869" s="86"/>
      <c r="C869" s="86"/>
      <c r="D869" s="86"/>
      <c r="E869" s="86"/>
      <c r="F869" s="86"/>
      <c r="G869" s="89" t="s">
        <v>79</v>
      </c>
      <c r="H869" s="89">
        <f>SUM(H866:H868)</f>
        <v>59127.792453043818</v>
      </c>
      <c r="I869" s="62" t="s">
        <v>52</v>
      </c>
      <c r="J869" s="86">
        <v>0.99915733361409687</v>
      </c>
      <c r="K869" s="86">
        <f>AC853+0*L844</f>
        <v>186.33333333333334</v>
      </c>
      <c r="L869" s="86">
        <f>J869*1.5*((K869-G868)*500/2+(K869-G868)*500)</f>
        <v>70815.276019899116</v>
      </c>
      <c r="M869" s="62" t="s">
        <v>56</v>
      </c>
      <c r="N869" s="86">
        <v>5.3906937549151896E-3</v>
      </c>
      <c r="O869" s="86">
        <f>AC854+1*L844</f>
        <v>283.33333333333337</v>
      </c>
      <c r="P869" s="86">
        <f>N869*1.5*((O869-K869)*500/2)</f>
        <v>196.08648533504009</v>
      </c>
    </row>
    <row r="870" spans="1:22" x14ac:dyDescent="0.25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9" t="s">
        <v>79</v>
      </c>
      <c r="L870" s="89">
        <f>SUM(L866:L869)</f>
        <v>70816.391445380097</v>
      </c>
      <c r="M870" s="62" t="s">
        <v>52</v>
      </c>
      <c r="N870" s="86">
        <v>0.9946053770032327</v>
      </c>
      <c r="O870" s="86">
        <f>AC854+0*L844</f>
        <v>271.33333333333337</v>
      </c>
      <c r="P870" s="86">
        <f>N870*1.5*((O870-K869)*500/2)</f>
        <v>31703.046391978056</v>
      </c>
      <c r="Q870" s="179" t="s">
        <v>80</v>
      </c>
      <c r="R870" s="179"/>
      <c r="S870" s="180">
        <f>D868+H869+L870+P871</f>
        <v>161843.45970011401</v>
      </c>
      <c r="T870" s="180"/>
    </row>
    <row r="871" spans="1:22" x14ac:dyDescent="0.25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9" t="s">
        <v>79</v>
      </c>
      <c r="P871" s="89">
        <f>SUM(P866:P870)</f>
        <v>31899.275801690084</v>
      </c>
      <c r="Q871" s="179"/>
      <c r="R871" s="179"/>
      <c r="S871" s="180"/>
      <c r="T871" s="180"/>
    </row>
    <row r="872" spans="1:22" x14ac:dyDescent="0.25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</row>
    <row r="873" spans="1:22" x14ac:dyDescent="0.25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</row>
    <row r="874" spans="1:22" x14ac:dyDescent="0.25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</row>
    <row r="875" spans="1:22" ht="24.75" thickBot="1" x14ac:dyDescent="0.3">
      <c r="O875" s="131" t="s">
        <v>81</v>
      </c>
      <c r="P875" s="131"/>
      <c r="Q875" s="131">
        <f>(R861+P861+M862+S870)/AC854</f>
        <v>1070.8421276077349</v>
      </c>
      <c r="R875" s="131"/>
    </row>
    <row r="876" spans="1:22" x14ac:dyDescent="0.25">
      <c r="A876" s="181" t="s">
        <v>128</v>
      </c>
      <c r="B876" s="182"/>
    </row>
    <row r="877" spans="1:22" ht="15.75" thickBot="1" x14ac:dyDescent="0.3">
      <c r="A877" s="183"/>
      <c r="B877" s="184"/>
    </row>
    <row r="878" spans="1:22" ht="21" x14ac:dyDescent="0.35">
      <c r="A878" s="185" t="s">
        <v>14</v>
      </c>
      <c r="B878" s="185"/>
      <c r="C878" s="165"/>
      <c r="D878" s="165"/>
      <c r="E878" s="165"/>
      <c r="F878" s="165"/>
      <c r="G878" s="165"/>
      <c r="H878" s="165"/>
      <c r="I878" s="165"/>
      <c r="J878" s="165"/>
      <c r="K878" s="165"/>
      <c r="L878" s="165"/>
      <c r="M878" s="165"/>
      <c r="O878" s="166" t="s">
        <v>72</v>
      </c>
      <c r="P878" s="166"/>
      <c r="Q878" s="166"/>
      <c r="R878" s="166"/>
      <c r="S878" s="166"/>
      <c r="T878" s="166"/>
      <c r="U878" s="166"/>
      <c r="V878" s="166"/>
    </row>
    <row r="879" spans="1:22" ht="36" x14ac:dyDescent="0.25">
      <c r="A879" s="4" t="s">
        <v>15</v>
      </c>
      <c r="B879" s="4" t="s">
        <v>16</v>
      </c>
      <c r="C879" s="4" t="s">
        <v>31</v>
      </c>
      <c r="D879" s="6" t="s">
        <v>17</v>
      </c>
      <c r="E879" s="6" t="s">
        <v>18</v>
      </c>
      <c r="F879" s="6" t="s">
        <v>19</v>
      </c>
      <c r="G879" s="6" t="s">
        <v>20</v>
      </c>
      <c r="H879" s="6" t="s">
        <v>21</v>
      </c>
      <c r="I879" s="6" t="s">
        <v>22</v>
      </c>
      <c r="J879" s="6" t="s">
        <v>23</v>
      </c>
      <c r="K879" s="6" t="s">
        <v>24</v>
      </c>
      <c r="L879" s="6" t="s">
        <v>25</v>
      </c>
      <c r="M879" s="6" t="s">
        <v>26</v>
      </c>
      <c r="N879" s="8"/>
      <c r="O879" s="167" t="s">
        <v>32</v>
      </c>
      <c r="P879" s="167" t="s">
        <v>35</v>
      </c>
      <c r="Q879" s="167" t="s">
        <v>66</v>
      </c>
      <c r="R879" s="99" t="s">
        <v>67</v>
      </c>
      <c r="S879" s="99" t="s">
        <v>68</v>
      </c>
      <c r="T879" s="167" t="s">
        <v>69</v>
      </c>
      <c r="U879" s="71" t="s">
        <v>33</v>
      </c>
      <c r="V879" s="99" t="s">
        <v>70</v>
      </c>
    </row>
    <row r="880" spans="1:22" x14ac:dyDescent="0.25">
      <c r="A880" s="3" t="s">
        <v>27</v>
      </c>
      <c r="B880" s="3">
        <v>0</v>
      </c>
      <c r="C880" s="3">
        <v>0.3</v>
      </c>
      <c r="D880" s="3">
        <v>243</v>
      </c>
      <c r="E880" s="3">
        <v>1.73</v>
      </c>
      <c r="F880" s="3">
        <v>5</v>
      </c>
      <c r="G880" s="169">
        <v>12</v>
      </c>
      <c r="H880" s="3">
        <v>1820</v>
      </c>
      <c r="I880" s="169">
        <v>19645</v>
      </c>
      <c r="J880" s="3">
        <v>20</v>
      </c>
      <c r="K880" s="3">
        <v>40</v>
      </c>
      <c r="L880" s="3">
        <v>500</v>
      </c>
      <c r="M880" s="3">
        <v>1000</v>
      </c>
      <c r="O880" s="168"/>
      <c r="P880" s="168"/>
      <c r="Q880" s="168"/>
      <c r="R880" s="72" t="s">
        <v>71</v>
      </c>
      <c r="S880" s="72" t="s">
        <v>71</v>
      </c>
      <c r="T880" s="168"/>
      <c r="U880" s="73">
        <v>500</v>
      </c>
      <c r="V880" s="3">
        <v>1.5</v>
      </c>
    </row>
    <row r="881" spans="1:34" x14ac:dyDescent="0.25">
      <c r="A881" s="3" t="s">
        <v>28</v>
      </c>
      <c r="B881" s="3">
        <v>0</v>
      </c>
      <c r="C881" s="3">
        <v>0.3</v>
      </c>
      <c r="D881" s="3">
        <v>254</v>
      </c>
      <c r="E881" s="3">
        <v>1.88</v>
      </c>
      <c r="F881" s="3">
        <v>3</v>
      </c>
      <c r="G881" s="170"/>
      <c r="H881" s="3">
        <v>2720</v>
      </c>
      <c r="I881" s="170"/>
      <c r="J881" s="5"/>
      <c r="K881" s="5"/>
      <c r="L881" s="5"/>
      <c r="M881" s="5"/>
      <c r="O881" s="74">
        <v>1</v>
      </c>
      <c r="P881" s="74">
        <v>106</v>
      </c>
      <c r="Q881" s="74">
        <v>110</v>
      </c>
      <c r="R881" s="74">
        <v>6</v>
      </c>
      <c r="S881" s="74">
        <v>5</v>
      </c>
      <c r="T881" s="74">
        <f>R881*$U$5/60+S881</f>
        <v>55</v>
      </c>
      <c r="U881" s="75"/>
    </row>
    <row r="882" spans="1:34" x14ac:dyDescent="0.25">
      <c r="A882" s="3" t="s">
        <v>29</v>
      </c>
      <c r="B882" s="3">
        <v>0</v>
      </c>
      <c r="C882" s="3">
        <v>0.3</v>
      </c>
      <c r="D882" s="3">
        <v>143</v>
      </c>
      <c r="E882" s="3">
        <v>2.4300000000000002</v>
      </c>
      <c r="F882" s="3">
        <v>8</v>
      </c>
      <c r="G882" s="170"/>
      <c r="H882" s="3">
        <v>3700</v>
      </c>
      <c r="I882" s="170"/>
      <c r="J882" s="5"/>
      <c r="K882" s="140" t="s">
        <v>73</v>
      </c>
      <c r="L882" s="141">
        <v>12</v>
      </c>
      <c r="M882" s="140" t="s">
        <v>74</v>
      </c>
      <c r="N882" s="141">
        <v>19645</v>
      </c>
      <c r="O882" s="74">
        <v>2</v>
      </c>
      <c r="P882" s="74">
        <v>76</v>
      </c>
      <c r="Q882" s="74">
        <v>40</v>
      </c>
      <c r="R882" s="74">
        <v>9</v>
      </c>
      <c r="S882" s="74">
        <v>2</v>
      </c>
      <c r="T882" s="74">
        <f t="shared" ref="T882:T884" si="92">R882*$U$5/60+S882</f>
        <v>77</v>
      </c>
      <c r="U882" s="75"/>
    </row>
    <row r="883" spans="1:34" x14ac:dyDescent="0.25">
      <c r="A883" s="3" t="s">
        <v>30</v>
      </c>
      <c r="B883" s="3">
        <v>0</v>
      </c>
      <c r="C883" s="3">
        <v>0.3</v>
      </c>
      <c r="D883" s="3">
        <v>449</v>
      </c>
      <c r="E883" s="3">
        <v>2.5299999999999998</v>
      </c>
      <c r="F883" s="3">
        <v>4</v>
      </c>
      <c r="G883" s="171"/>
      <c r="H883" s="3">
        <v>4320</v>
      </c>
      <c r="I883" s="171"/>
      <c r="J883" s="5"/>
      <c r="K883" s="140"/>
      <c r="L883" s="141"/>
      <c r="M883" s="140"/>
      <c r="N883" s="141"/>
      <c r="O883" s="74">
        <v>3</v>
      </c>
      <c r="P883" s="74">
        <v>95</v>
      </c>
      <c r="Q883" s="74">
        <v>67</v>
      </c>
      <c r="R883" s="74">
        <v>5</v>
      </c>
      <c r="S883" s="74">
        <v>4</v>
      </c>
      <c r="T883" s="74">
        <f t="shared" si="92"/>
        <v>45.666666666666664</v>
      </c>
      <c r="U883" s="75"/>
    </row>
    <row r="884" spans="1:34" ht="15.75" thickBo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O884" s="74">
        <v>4</v>
      </c>
      <c r="P884" s="74">
        <v>140</v>
      </c>
      <c r="Q884" s="94">
        <v>85</v>
      </c>
      <c r="R884" s="94">
        <v>8</v>
      </c>
      <c r="S884" s="94">
        <v>3</v>
      </c>
      <c r="T884" s="74">
        <f t="shared" si="92"/>
        <v>69.666666666666671</v>
      </c>
    </row>
    <row r="885" spans="1:34" x14ac:dyDescent="0.25">
      <c r="A885" s="142" t="s">
        <v>36</v>
      </c>
      <c r="B885" s="144" t="s">
        <v>106</v>
      </c>
      <c r="C885" s="144"/>
      <c r="D885" s="144"/>
      <c r="E885" s="144"/>
      <c r="F885" s="20" t="s">
        <v>27</v>
      </c>
      <c r="G885" s="20" t="s">
        <v>28</v>
      </c>
      <c r="H885" s="20" t="s">
        <v>29</v>
      </c>
      <c r="I885" s="20" t="s">
        <v>30</v>
      </c>
    </row>
    <row r="886" spans="1:34" ht="15.75" thickBot="1" x14ac:dyDescent="0.3">
      <c r="A886" s="143"/>
      <c r="B886" s="145"/>
      <c r="C886" s="145"/>
      <c r="D886" s="145"/>
      <c r="E886" s="145"/>
      <c r="F886" s="20">
        <v>126</v>
      </c>
      <c r="G886" s="26">
        <v>91</v>
      </c>
      <c r="H886" s="26">
        <v>67</v>
      </c>
      <c r="I886" s="26">
        <v>201</v>
      </c>
    </row>
    <row r="887" spans="1:34" ht="15.75" thickBot="1" x14ac:dyDescent="0.3">
      <c r="A887" s="143"/>
      <c r="B887" s="145"/>
      <c r="C887" s="145"/>
      <c r="D887" s="145"/>
      <c r="E887" s="145"/>
      <c r="F887" s="7"/>
      <c r="G887" s="146" t="s">
        <v>27</v>
      </c>
      <c r="H887" s="147"/>
      <c r="I887" s="147"/>
      <c r="J887" s="147"/>
      <c r="K887" s="148"/>
      <c r="L887" s="149" t="s">
        <v>28</v>
      </c>
      <c r="M887" s="150"/>
      <c r="N887" s="150"/>
      <c r="O887" s="150"/>
      <c r="P887" s="151"/>
      <c r="Q887" s="152" t="s">
        <v>29</v>
      </c>
      <c r="R887" s="153"/>
      <c r="S887" s="153"/>
      <c r="T887" s="153"/>
      <c r="U887" s="154"/>
      <c r="V887" s="155" t="s">
        <v>30</v>
      </c>
      <c r="W887" s="156"/>
      <c r="X887" s="156"/>
      <c r="Y887" s="156"/>
      <c r="Z887" s="157"/>
      <c r="AA887" s="158" t="s">
        <v>42</v>
      </c>
      <c r="AB887" s="159"/>
      <c r="AC887" s="160" t="s">
        <v>44</v>
      </c>
      <c r="AD887" s="162" t="s">
        <v>47</v>
      </c>
      <c r="AE887" s="163"/>
      <c r="AF887" s="163"/>
      <c r="AG887" s="164"/>
      <c r="AH887" s="138" t="s">
        <v>62</v>
      </c>
    </row>
    <row r="888" spans="1:34" ht="36.75" x14ac:dyDescent="0.25">
      <c r="A888" s="21" t="s">
        <v>32</v>
      </c>
      <c r="B888" s="22" t="s">
        <v>37</v>
      </c>
      <c r="C888" s="23" t="s">
        <v>33</v>
      </c>
      <c r="D888" s="22" t="s">
        <v>38</v>
      </c>
      <c r="E888" s="22" t="s">
        <v>34</v>
      </c>
      <c r="F888" s="25" t="s">
        <v>35</v>
      </c>
      <c r="G888" s="27" t="s">
        <v>39</v>
      </c>
      <c r="H888" s="10" t="s">
        <v>40</v>
      </c>
      <c r="I888" s="10" t="s">
        <v>45</v>
      </c>
      <c r="J888" s="10" t="s">
        <v>46</v>
      </c>
      <c r="K888" s="28" t="s">
        <v>41</v>
      </c>
      <c r="L888" s="30" t="s">
        <v>39</v>
      </c>
      <c r="M888" s="13" t="s">
        <v>40</v>
      </c>
      <c r="N888" s="13" t="s">
        <v>45</v>
      </c>
      <c r="O888" s="13" t="s">
        <v>46</v>
      </c>
      <c r="P888" s="31" t="s">
        <v>41</v>
      </c>
      <c r="Q888" s="33" t="s">
        <v>39</v>
      </c>
      <c r="R888" s="12" t="s">
        <v>40</v>
      </c>
      <c r="S888" s="12" t="s">
        <v>45</v>
      </c>
      <c r="T888" s="12" t="s">
        <v>46</v>
      </c>
      <c r="U888" s="34" t="s">
        <v>41</v>
      </c>
      <c r="V888" s="36" t="s">
        <v>39</v>
      </c>
      <c r="W888" s="11" t="s">
        <v>40</v>
      </c>
      <c r="X888" s="11" t="s">
        <v>45</v>
      </c>
      <c r="Y888" s="11" t="s">
        <v>46</v>
      </c>
      <c r="Z888" s="37" t="s">
        <v>41</v>
      </c>
      <c r="AA888" s="39" t="s">
        <v>41</v>
      </c>
      <c r="AB888" s="40" t="s">
        <v>43</v>
      </c>
      <c r="AC888" s="161"/>
      <c r="AD888" s="43" t="s">
        <v>27</v>
      </c>
      <c r="AE888" s="1" t="s">
        <v>28</v>
      </c>
      <c r="AF888" s="1" t="s">
        <v>29</v>
      </c>
      <c r="AG888" s="1" t="s">
        <v>30</v>
      </c>
      <c r="AH888" s="139"/>
    </row>
    <row r="889" spans="1:34" x14ac:dyDescent="0.25">
      <c r="A889" s="24">
        <v>4</v>
      </c>
      <c r="B889" s="9">
        <v>8</v>
      </c>
      <c r="C889" s="9">
        <v>500</v>
      </c>
      <c r="D889" s="9">
        <v>3</v>
      </c>
      <c r="E889" s="48">
        <f>B889*C889/60+D889</f>
        <v>69.666666666666671</v>
      </c>
      <c r="F889" s="100">
        <v>140</v>
      </c>
      <c r="G889" s="49">
        <f>B$5*(1-AD889*C$5)</f>
        <v>0</v>
      </c>
      <c r="H889" s="50">
        <f>G889+E889</f>
        <v>69.666666666666671</v>
      </c>
      <c r="I889" s="15">
        <f>(H889/D$5)^E$5</f>
        <v>0.11516869637804684</v>
      </c>
      <c r="J889" s="15">
        <f>(G889/D$5)^E$5</f>
        <v>0</v>
      </c>
      <c r="K889" s="29">
        <f>1-EXP(J889-I889)</f>
        <v>0.10878421365041502</v>
      </c>
      <c r="L889" s="51">
        <f>B$6*(1-AE889*C$6)</f>
        <v>0</v>
      </c>
      <c r="M889" s="52">
        <f>L889+E889</f>
        <v>69.666666666666671</v>
      </c>
      <c r="N889" s="17">
        <f>(M889/D$6)^E$6</f>
        <v>8.7861714115895329E-2</v>
      </c>
      <c r="O889" s="17">
        <f>(L889/D$6)^E$6</f>
        <v>0</v>
      </c>
      <c r="P889" s="32">
        <f>1-EXP(O889-N889)</f>
        <v>8.4112477717763534E-2</v>
      </c>
      <c r="Q889" s="53">
        <f>B$7*(1-AF889*C$7)</f>
        <v>0</v>
      </c>
      <c r="R889" s="54">
        <f>Q889+E889</f>
        <v>69.666666666666671</v>
      </c>
      <c r="S889" s="16">
        <f>(R889/D$7)^E$7</f>
        <v>0.17421448251746105</v>
      </c>
      <c r="T889" s="16">
        <f>(Q889/D$7)^E$7</f>
        <v>0</v>
      </c>
      <c r="U889" s="35">
        <f>1-EXP(T889-S889)</f>
        <v>0.15988331200899064</v>
      </c>
      <c r="V889" s="55">
        <f>B$8*(1-AG889*C$8)</f>
        <v>0</v>
      </c>
      <c r="W889" s="56">
        <f>V889+E889</f>
        <v>69.666666666666671</v>
      </c>
      <c r="X889" s="18">
        <f>(W889/D$8)^E$8</f>
        <v>8.9674731846197935E-3</v>
      </c>
      <c r="Y889" s="18">
        <f>(V889/D$8)^E$8</f>
        <v>0</v>
      </c>
      <c r="Z889" s="38">
        <f>1-EXP(Y889-X889)</f>
        <v>8.9273853154187011E-3</v>
      </c>
      <c r="AA889" s="41">
        <f>K889*P889*U889*Z889</f>
        <v>1.3060317021926209E-5</v>
      </c>
      <c r="AB889" s="42">
        <f>1-AA889</f>
        <v>0.99998693968297803</v>
      </c>
      <c r="AC889" s="47">
        <f>(AD889*F$5+AE889*F$6+AF889*F$7+AG889*F$8)+E889</f>
        <v>69.666666666666671</v>
      </c>
      <c r="AD889" s="43">
        <v>0</v>
      </c>
      <c r="AE889" s="1">
        <v>0</v>
      </c>
      <c r="AF889" s="1">
        <v>0</v>
      </c>
      <c r="AG889" s="1">
        <v>0</v>
      </c>
      <c r="AH889" s="74">
        <v>85</v>
      </c>
    </row>
    <row r="890" spans="1:34" x14ac:dyDescent="0.25">
      <c r="A890" s="76">
        <v>3</v>
      </c>
      <c r="B890" s="58">
        <v>5</v>
      </c>
      <c r="C890" s="9">
        <v>500</v>
      </c>
      <c r="D890" s="58">
        <v>4</v>
      </c>
      <c r="E890" s="48">
        <f t="shared" ref="E890:E892" si="93">B890*C890/60+D890</f>
        <v>45.666666666666664</v>
      </c>
      <c r="F890" s="100">
        <v>95</v>
      </c>
      <c r="G890" s="49">
        <f>H889*(1-AD890*C$5)</f>
        <v>69.666666666666671</v>
      </c>
      <c r="H890" s="50">
        <f>G890+E890</f>
        <v>115.33333333333334</v>
      </c>
      <c r="I890" s="15">
        <f>(H890/D$5)^E$5</f>
        <v>0.27547552976184858</v>
      </c>
      <c r="J890" s="15">
        <f>(G890/D$5)^E$5</f>
        <v>0.11516869637804684</v>
      </c>
      <c r="K890" s="29">
        <f>1-EXP(J890-I890)</f>
        <v>0.14811763708687153</v>
      </c>
      <c r="L890" s="51">
        <f>M889*(1-AE890*C$6)</f>
        <v>69.666666666666671</v>
      </c>
      <c r="M890" s="52">
        <f>L890+E890</f>
        <v>115.33333333333334</v>
      </c>
      <c r="N890" s="17">
        <f>(M890/D$6)^E$6</f>
        <v>0.22666669883015245</v>
      </c>
      <c r="O890" s="17">
        <f>(L890/D$6)^E$6</f>
        <v>8.7861714115895329E-2</v>
      </c>
      <c r="P890" s="32">
        <f>1-EXP(O890-N890)</f>
        <v>0.12960224722523705</v>
      </c>
      <c r="Q890" s="53">
        <f>R889*(1-AF890*C$7)</f>
        <v>48.766666666666666</v>
      </c>
      <c r="R890" s="54">
        <f>Q890+E890</f>
        <v>94.433333333333337</v>
      </c>
      <c r="S890" s="16">
        <f>(R890/D$7)^E$7</f>
        <v>0.36482782669178548</v>
      </c>
      <c r="T890" s="16">
        <f>(Q890/D$7)^E$7</f>
        <v>7.3227210826217928E-2</v>
      </c>
      <c r="U890" s="35">
        <f>1-EXP(T890-S890)</f>
        <v>0.2529331569556913</v>
      </c>
      <c r="V890" s="55">
        <f>W889*(1-AG890*C$8)</f>
        <v>69.666666666666671</v>
      </c>
      <c r="W890" s="56">
        <f>V890+E890</f>
        <v>115.33333333333334</v>
      </c>
      <c r="X890" s="18">
        <f>(W890/D$8)^E$8</f>
        <v>3.2104248826077181E-2</v>
      </c>
      <c r="Y890" s="18">
        <f>(V890/D$8)^E$8</f>
        <v>8.9674731846197935E-3</v>
      </c>
      <c r="Z890" s="38">
        <f>1-EXP(Y890-X890)</f>
        <v>2.2871172789123873E-2</v>
      </c>
      <c r="AA890" s="41">
        <f>K890*P890*U890*Z890</f>
        <v>1.1104870714678702E-4</v>
      </c>
      <c r="AB890" s="42">
        <f>1-AA890</f>
        <v>0.99988895129285327</v>
      </c>
      <c r="AC890" s="47">
        <f>AF890*F$7+E890+AC889</f>
        <v>123.33333333333334</v>
      </c>
      <c r="AD890" s="43">
        <v>0</v>
      </c>
      <c r="AE890" s="1">
        <v>0</v>
      </c>
      <c r="AF890" s="1">
        <v>1</v>
      </c>
      <c r="AG890" s="1">
        <v>0</v>
      </c>
      <c r="AH890" s="74">
        <v>67</v>
      </c>
    </row>
    <row r="891" spans="1:34" x14ac:dyDescent="0.25">
      <c r="A891" s="24">
        <v>2</v>
      </c>
      <c r="B891" s="9">
        <v>9</v>
      </c>
      <c r="C891" s="58">
        <v>500</v>
      </c>
      <c r="D891" s="58">
        <v>2</v>
      </c>
      <c r="E891" s="48">
        <f t="shared" si="93"/>
        <v>77</v>
      </c>
      <c r="F891" s="100">
        <v>76</v>
      </c>
      <c r="G891" s="68">
        <f>H890*(1-AD891*C$5)</f>
        <v>80.733333333333334</v>
      </c>
      <c r="H891" s="69">
        <f>G891+E891</f>
        <v>157.73333333333335</v>
      </c>
      <c r="I891" s="70">
        <f>(H891/D$5)^E$5</f>
        <v>0.473487773687709</v>
      </c>
      <c r="J891" s="70">
        <f>(G891/D$5)^E$5</f>
        <v>0.14862868526677991</v>
      </c>
      <c r="K891" s="29">
        <f>1-EXP(J891-I891)</f>
        <v>0.27737082671398927</v>
      </c>
      <c r="L891" s="51">
        <f>M890*(1-AE891*C$6)</f>
        <v>80.733333333333334</v>
      </c>
      <c r="M891" s="52">
        <f>L891+E891</f>
        <v>157.73333333333335</v>
      </c>
      <c r="N891" s="17">
        <f>(M891/D$6)^E$6</f>
        <v>0.40832762011069829</v>
      </c>
      <c r="O891" s="17">
        <f>(L891/D$6)^E$6</f>
        <v>0.11592364675943075</v>
      </c>
      <c r="P891" s="32">
        <f>1-EXP(O891-N891)</f>
        <v>0.25353307768869848</v>
      </c>
      <c r="Q891" s="53">
        <f>R890*(1-AF891*C$7)</f>
        <v>66.103333333333339</v>
      </c>
      <c r="R891" s="54">
        <f>Q891+E891</f>
        <v>143.10333333333335</v>
      </c>
      <c r="S891" s="16">
        <f>(R891/D$7)^E$7</f>
        <v>1.0017568513876633</v>
      </c>
      <c r="T891" s="16">
        <f>(Q891/D$7)^E$7</f>
        <v>0.15334732104004425</v>
      </c>
      <c r="U891" s="35">
        <f>1-EXP(T891-S891)</f>
        <v>0.5719047366932587</v>
      </c>
      <c r="V891" s="55">
        <f>W890*(1-AG891*C$8)</f>
        <v>115.33333333333334</v>
      </c>
      <c r="W891" s="56">
        <f>V891+E891</f>
        <v>192.33333333333334</v>
      </c>
      <c r="X891" s="18">
        <f>(W891/D$8)^E$8</f>
        <v>0.11707786390726455</v>
      </c>
      <c r="Y891" s="18">
        <f>(V891/D$8)^E$8</f>
        <v>3.2104248826077181E-2</v>
      </c>
      <c r="Z891" s="38">
        <f>1-EXP(Y891-X891)</f>
        <v>8.1463480406769873E-2</v>
      </c>
      <c r="AA891" s="41">
        <f>K891*P891*U891*Z891</f>
        <v>3.2762879434921816E-3</v>
      </c>
      <c r="AB891" s="42">
        <f>1-AA891</f>
        <v>0.99672371205650778</v>
      </c>
      <c r="AC891" s="47">
        <f>(AF891*F$7)+E891+AC890</f>
        <v>208.33333333333334</v>
      </c>
      <c r="AD891" s="77">
        <v>1</v>
      </c>
      <c r="AE891" s="78">
        <v>1</v>
      </c>
      <c r="AF891" s="78">
        <v>1</v>
      </c>
      <c r="AG891" s="78">
        <v>0</v>
      </c>
      <c r="AH891" s="74">
        <v>40</v>
      </c>
    </row>
    <row r="892" spans="1:34" ht="15.75" thickBot="1" x14ac:dyDescent="0.3">
      <c r="A892" s="57">
        <v>1</v>
      </c>
      <c r="B892" s="58">
        <v>6</v>
      </c>
      <c r="C892" s="58">
        <v>500</v>
      </c>
      <c r="D892" s="9">
        <v>5</v>
      </c>
      <c r="E892" s="48">
        <f t="shared" si="93"/>
        <v>55</v>
      </c>
      <c r="F892" s="100">
        <v>106</v>
      </c>
      <c r="G892" s="68">
        <f>H891*(1-AD892*C$5)</f>
        <v>110.41333333333334</v>
      </c>
      <c r="H892" s="69">
        <f>G892+E892</f>
        <v>165.41333333333336</v>
      </c>
      <c r="I892" s="70">
        <f>(H892/D$5)^E$5</f>
        <v>0.51407695397697584</v>
      </c>
      <c r="J892" s="70">
        <f>(G892/D$5)^E$5</f>
        <v>0.25546321792697063</v>
      </c>
      <c r="K892" s="29">
        <f>1-EXP(J892-I892)</f>
        <v>0.22787879196136918</v>
      </c>
      <c r="L892" s="51">
        <f>M891*(1-AE892*C$6)</f>
        <v>110.41333333333334</v>
      </c>
      <c r="M892" s="52">
        <f>L892+E892</f>
        <v>165.41333333333336</v>
      </c>
      <c r="N892" s="17">
        <f>(M892/D$6)^E$6</f>
        <v>0.44650381920973092</v>
      </c>
      <c r="O892" s="17">
        <f>(L892/D$6)^E$6</f>
        <v>0.20883008858438834</v>
      </c>
      <c r="P892" s="32">
        <f>1-EXP(O892-N892)</f>
        <v>0.21154010054978001</v>
      </c>
      <c r="Q892" s="53">
        <f>R891*(1-AF892*C$7)</f>
        <v>100.17233333333334</v>
      </c>
      <c r="R892" s="54">
        <f>Q892+E892</f>
        <v>155.17233333333334</v>
      </c>
      <c r="S892" s="16">
        <f>(R892/D$7)^E$7</f>
        <v>1.2195852277600101</v>
      </c>
      <c r="T892" s="16">
        <f>(Q892/D$7)^E$7</f>
        <v>0.42106637228521127</v>
      </c>
      <c r="U892" s="35">
        <f>1-EXP(T892-S892)</f>
        <v>0.55000502163764331</v>
      </c>
      <c r="V892" s="55">
        <f>W891*(1-AG892*C$8)</f>
        <v>134.63333333333333</v>
      </c>
      <c r="W892" s="56">
        <f>V892+E892</f>
        <v>189.63333333333333</v>
      </c>
      <c r="X892" s="18">
        <f>(W892/D$8)^E$8</f>
        <v>0.11296421670190258</v>
      </c>
      <c r="Y892" s="18">
        <f>(V892/D$8)^E$8</f>
        <v>4.7486791978556986E-2</v>
      </c>
      <c r="Z892" s="38">
        <f>1-EXP(Y892-X892)</f>
        <v>6.337980901910989E-2</v>
      </c>
      <c r="AA892" s="41">
        <f>K892*P892*U892*Z892</f>
        <v>1.680405892806724E-3</v>
      </c>
      <c r="AB892" s="42">
        <f>1-AA892</f>
        <v>0.99831959410719329</v>
      </c>
      <c r="AC892" s="47">
        <f>(AF892*F$7)+E892+AC891</f>
        <v>271.33333333333337</v>
      </c>
      <c r="AD892" s="80">
        <v>1</v>
      </c>
      <c r="AE892" s="45">
        <v>1</v>
      </c>
      <c r="AF892" s="81">
        <v>1</v>
      </c>
      <c r="AG892" s="45">
        <v>1</v>
      </c>
      <c r="AH892" s="94">
        <v>110</v>
      </c>
    </row>
    <row r="893" spans="1:34" ht="18.75" x14ac:dyDescent="0.3">
      <c r="A893" s="132" t="s">
        <v>53</v>
      </c>
      <c r="B893" s="132"/>
      <c r="C893" s="132"/>
      <c r="D893" s="132"/>
      <c r="E893" s="132"/>
      <c r="F893" s="132"/>
      <c r="G893" s="132"/>
      <c r="H893" s="132"/>
      <c r="I893" s="132"/>
      <c r="J893" s="132"/>
      <c r="AG893" s="46"/>
    </row>
    <row r="894" spans="1:34" ht="15.75" x14ac:dyDescent="0.25">
      <c r="A894" s="19" t="s">
        <v>82</v>
      </c>
      <c r="B894" s="60" t="s">
        <v>49</v>
      </c>
      <c r="C894" s="61" t="s">
        <v>50</v>
      </c>
      <c r="D894" s="19" t="s">
        <v>48</v>
      </c>
      <c r="E894" s="60" t="s">
        <v>57</v>
      </c>
      <c r="F894" s="61" t="s">
        <v>50</v>
      </c>
      <c r="G894" s="19" t="s">
        <v>54</v>
      </c>
      <c r="H894" s="60" t="s">
        <v>61</v>
      </c>
      <c r="I894" s="61" t="s">
        <v>50</v>
      </c>
      <c r="J894" s="19" t="s">
        <v>58</v>
      </c>
      <c r="K894" s="83" t="s">
        <v>84</v>
      </c>
      <c r="L894" s="61" t="s">
        <v>50</v>
      </c>
      <c r="M894" s="61" t="s">
        <v>85</v>
      </c>
      <c r="O894" s="174" t="s">
        <v>64</v>
      </c>
      <c r="P894" s="174"/>
      <c r="Q894" s="175" t="s">
        <v>109</v>
      </c>
      <c r="R894" s="175"/>
    </row>
    <row r="895" spans="1:34" ht="24.75" x14ac:dyDescent="0.25">
      <c r="A895" s="61" t="s">
        <v>51</v>
      </c>
      <c r="B895" s="1">
        <f>AA889</f>
        <v>1.3060317021926209E-5</v>
      </c>
      <c r="C895" s="59">
        <f>MAX(AC889+1*L882-F889,0)</f>
        <v>0</v>
      </c>
      <c r="D895" s="62" t="s">
        <v>55</v>
      </c>
      <c r="E895" s="1">
        <f>AA889*AA890</f>
        <v>1.4503313202120812E-9</v>
      </c>
      <c r="F895" s="1">
        <f>MAX(AC890+2*L882-F890,0)</f>
        <v>52.333333333333343</v>
      </c>
      <c r="G895" s="62" t="s">
        <v>59</v>
      </c>
      <c r="H895" s="1">
        <f>AA889*AA890*AA891</f>
        <v>4.75170301847994E-12</v>
      </c>
      <c r="I895" s="1">
        <f>AC891+3*L882-F891</f>
        <v>168.33333333333334</v>
      </c>
      <c r="J895" s="62" t="s">
        <v>83</v>
      </c>
      <c r="K895" s="1">
        <f>AA889*AA890*AA891*AA892</f>
        <v>7.9847897531211883E-15</v>
      </c>
      <c r="L895" s="1">
        <f>AC892+4*L882-F892</f>
        <v>213.33333333333337</v>
      </c>
      <c r="M895" s="1">
        <f>B895*C895*AH889+E895*F895*AH890+H895*I895*AH891+K895*L895*AH892</f>
        <v>5.117527229160933E-6</v>
      </c>
      <c r="O895" s="1" t="s">
        <v>27</v>
      </c>
      <c r="P895" s="1">
        <f>2*H880</f>
        <v>3640</v>
      </c>
      <c r="Q895" s="1">
        <f>(K889*(1-P889)*(1-U889)*(1-Z889))+(P889*(1-K889)*(1-U889)*(1-Z889))+(U889*(1-K889)*(1-P889)*(1-Z889))+(Z889*(1-K889)*(1-P889)*(1-U889))</f>
        <v>0.28083409477630866</v>
      </c>
      <c r="R895" s="1">
        <f>Q895*(L$7*(J$5*K$5+L$5)+I$5)</f>
        <v>9897.9976703909997</v>
      </c>
    </row>
    <row r="896" spans="1:34" ht="24.75" x14ac:dyDescent="0.25">
      <c r="A896" s="62" t="s">
        <v>52</v>
      </c>
      <c r="B896" s="1">
        <f>AB889</f>
        <v>0.99998693968297803</v>
      </c>
      <c r="C896" s="59">
        <f>MAX(AC889-F889,0)</f>
        <v>0</v>
      </c>
      <c r="D896" s="62" t="s">
        <v>56</v>
      </c>
      <c r="E896" s="1">
        <f>AA889*AB890+AA890*AB889</f>
        <v>1.2410612350607279E-4</v>
      </c>
      <c r="F896" s="1">
        <f>MAX(AC890+1*L882-F890,0)</f>
        <v>40.333333333333343</v>
      </c>
      <c r="G896" s="62" t="s">
        <v>60</v>
      </c>
      <c r="H896" s="1">
        <f>AA889*AA890*AB891+AA890*AA891*AB889+AA889*AA891*AB890</f>
        <v>4.0805297577369154E-7</v>
      </c>
      <c r="I896" s="1">
        <f>AC891+2*L882-F891</f>
        <v>156.33333333333334</v>
      </c>
      <c r="J896" s="62" t="s">
        <v>59</v>
      </c>
      <c r="K896">
        <f>AB889*AA890*AA891*AA892+AB890*AA889*AA891*AA892*+AB891*AA889*AA890*AA892+AB892*AA889*AA890*AA891</f>
        <v>6.1611367623456343E-10</v>
      </c>
      <c r="L896" s="1">
        <f>AC892+3*L882-F892</f>
        <v>201.33333333333337</v>
      </c>
      <c r="M896" s="1">
        <f>B896*C896*AH889+E896*F896*AH890+H896*I896*AH891+K896*L896*AH892</f>
        <v>0.33794145056063196</v>
      </c>
      <c r="O896" s="1" t="s">
        <v>28</v>
      </c>
      <c r="P896" s="1">
        <f>2*H881</f>
        <v>5440</v>
      </c>
      <c r="Q896" s="1">
        <f t="shared" ref="Q896:Q898" si="94">(K890*(1-P890)*(1-U890)*(1-Z890))+(P890*(1-K890)*(1-U890)*(1-Z890))+(U890*(1-K890)*(1-P890)*(1-Z890))+(Z890*(1-K890)*(1-P890)*(1-U890))</f>
        <v>0.37062787292605864</v>
      </c>
      <c r="R896" s="1">
        <f t="shared" ref="R896:R898" si="95">Q896*(L$7*(J$5*K$5+L$5)+I$5)</f>
        <v>13062.779381278937</v>
      </c>
    </row>
    <row r="897" spans="1:20" ht="24.75" x14ac:dyDescent="0.25">
      <c r="A897" s="1"/>
      <c r="B897" s="1"/>
      <c r="C897" s="1"/>
      <c r="D897" s="62" t="s">
        <v>52</v>
      </c>
      <c r="E897" s="1">
        <f>AB889*AB890</f>
        <v>0.99987589242616259</v>
      </c>
      <c r="F897" s="59">
        <f>MAX(AC890-F890,0)</f>
        <v>28.333333333333343</v>
      </c>
      <c r="G897" s="62" t="s">
        <v>56</v>
      </c>
      <c r="H897" s="1">
        <f>AA889*AB890*AB891+AA890*AB889*AB891*+AA891*AB889*AB890</f>
        <v>1.3378667878329382E-5</v>
      </c>
      <c r="I897" s="1">
        <f>AC891+1*L882-F891</f>
        <v>144.33333333333334</v>
      </c>
      <c r="J897" s="62" t="s">
        <v>60</v>
      </c>
      <c r="K897" s="1">
        <f>AA889*AA890*AB891*AB892 + AA889*AA891*AB890*AB892 + AA889*AA892*AB890*AB891 + AA890*AA891*AB889*AB892 + AA890*AA892*AB889*AB891 + AA891*AA892*AB889*AB890</f>
        <v>6.1200429702836032E-6</v>
      </c>
      <c r="L897" s="1">
        <f>AC892+2*L882-F892</f>
        <v>189.33333333333337</v>
      </c>
      <c r="M897" s="1">
        <f>B897*C897*AH889+E897*F897*AH890+H897*I897*AH891+K897*L897*AH892</f>
        <v>1898.3024353931446</v>
      </c>
      <c r="O897" s="1" t="s">
        <v>29</v>
      </c>
      <c r="P897" s="1">
        <f>3*(F882*(J880*K880+L880)+H882)</f>
        <v>42300</v>
      </c>
      <c r="Q897" s="1">
        <f t="shared" si="94"/>
        <v>0.4556346503008124</v>
      </c>
      <c r="R897" s="1">
        <f t="shared" si="95"/>
        <v>16058.843249852132</v>
      </c>
    </row>
    <row r="898" spans="1:20" ht="24.75" x14ac:dyDescent="0.25">
      <c r="A898" s="1"/>
      <c r="B898" s="1"/>
      <c r="C898" s="1"/>
      <c r="D898" s="1"/>
      <c r="E898" s="1"/>
      <c r="F898" s="1"/>
      <c r="G898" s="62" t="s">
        <v>52</v>
      </c>
      <c r="H898" s="1">
        <f>AB889*AB890*AB891</f>
        <v>0.99660001109481822</v>
      </c>
      <c r="I898" s="63">
        <f>AC891-F891</f>
        <v>132.33333333333334</v>
      </c>
      <c r="J898" s="62" t="s">
        <v>56</v>
      </c>
      <c r="K898" s="1">
        <f>AA889*AB890*AB891*AB892+AA890*AB889*AB891*AB892+AA891*AB889*AB890*AB892+AA892*AB889*AB890*AB891</f>
        <v>5.0685607031800833E-3</v>
      </c>
      <c r="L898" s="1">
        <f>AC892+1*L882-F892</f>
        <v>177.33333333333337</v>
      </c>
      <c r="M898" s="1">
        <f>B898*C898*AH889+E898*F898*AH890+H898*I898*AH891+K898*L898*AH892</f>
        <v>5374.2067828452709</v>
      </c>
      <c r="O898" s="1" t="s">
        <v>30</v>
      </c>
      <c r="P898" s="1">
        <f>1*H883</f>
        <v>4320</v>
      </c>
      <c r="Q898" s="1">
        <f t="shared" si="94"/>
        <v>0.4755458647621037</v>
      </c>
      <c r="R898" s="1">
        <f t="shared" si="95"/>
        <v>16760.614003540344</v>
      </c>
    </row>
    <row r="899" spans="1:20" ht="30" x14ac:dyDescent="0.25">
      <c r="I899" s="84"/>
      <c r="J899" s="62" t="s">
        <v>52</v>
      </c>
      <c r="K899" s="85">
        <f>AB889*AB890*AB891*AB892</f>
        <v>0.99492531856340327</v>
      </c>
      <c r="L899" s="1">
        <f>AC892+0*L882-F892</f>
        <v>165.33333333333337</v>
      </c>
      <c r="M899" s="1">
        <f>B899*C899*AH889+E899*F899*AH890+H899*I899*AH891+K899*L899*AH892</f>
        <v>18094.375126939765</v>
      </c>
      <c r="O899" s="64" t="s">
        <v>65</v>
      </c>
      <c r="P899" s="65">
        <f>SUM(P895:P898)</f>
        <v>55700</v>
      </c>
      <c r="Q899" s="96" t="s">
        <v>108</v>
      </c>
      <c r="R899" s="97">
        <f>SUM(R895:R898)</f>
        <v>55780.234305062411</v>
      </c>
    </row>
    <row r="900" spans="1:20" x14ac:dyDescent="0.25">
      <c r="L900" s="176" t="s">
        <v>63</v>
      </c>
      <c r="M900" s="177">
        <f>SUM(M895:M899)</f>
        <v>25367.222291746268</v>
      </c>
    </row>
    <row r="901" spans="1:20" x14ac:dyDescent="0.25">
      <c r="L901" s="176"/>
      <c r="M901" s="177"/>
    </row>
    <row r="902" spans="1:20" x14ac:dyDescent="0.25">
      <c r="A902" s="178" t="s">
        <v>90</v>
      </c>
      <c r="B902" s="178"/>
      <c r="C902" s="178"/>
      <c r="D902" s="178"/>
      <c r="E902" s="178"/>
      <c r="F902" s="178"/>
      <c r="G902" s="178"/>
      <c r="H902" s="178"/>
      <c r="I902" s="178"/>
      <c r="J902" s="178"/>
      <c r="K902" s="178"/>
      <c r="L902" s="178"/>
      <c r="M902" s="178"/>
      <c r="N902" s="178"/>
    </row>
    <row r="903" spans="1:20" ht="15.75" x14ac:dyDescent="0.25">
      <c r="A903" s="87" t="s">
        <v>86</v>
      </c>
      <c r="B903" s="62" t="s">
        <v>49</v>
      </c>
      <c r="C903" s="90" t="s">
        <v>103</v>
      </c>
      <c r="D903" s="62" t="s">
        <v>88</v>
      </c>
      <c r="E903" s="87" t="s">
        <v>75</v>
      </c>
      <c r="F903" s="62" t="s">
        <v>57</v>
      </c>
      <c r="G903" s="90" t="s">
        <v>87</v>
      </c>
      <c r="H903" s="62" t="s">
        <v>88</v>
      </c>
      <c r="I903" s="87" t="s">
        <v>76</v>
      </c>
      <c r="J903" s="62" t="s">
        <v>61</v>
      </c>
      <c r="K903" s="90" t="s">
        <v>102</v>
      </c>
      <c r="L903" s="62" t="s">
        <v>88</v>
      </c>
      <c r="M903" s="87" t="s">
        <v>77</v>
      </c>
      <c r="N903" s="62" t="s">
        <v>84</v>
      </c>
      <c r="O903" s="90" t="s">
        <v>78</v>
      </c>
      <c r="P903" s="62" t="s">
        <v>88</v>
      </c>
    </row>
    <row r="904" spans="1:20" ht="24.75" x14ac:dyDescent="0.25">
      <c r="A904" s="62" t="s">
        <v>51</v>
      </c>
      <c r="B904" s="86">
        <v>1.3060317021926209E-5</v>
      </c>
      <c r="C904" s="86">
        <f>AC889+1*L882</f>
        <v>81.666666666666671</v>
      </c>
      <c r="D904" s="86">
        <f>MAX(B904*1.5*((C904-F889)*500/2),0)</f>
        <v>0</v>
      </c>
      <c r="E904" s="62" t="s">
        <v>55</v>
      </c>
      <c r="F904" s="86">
        <v>1.4503313202120812E-9</v>
      </c>
      <c r="G904" s="86">
        <f>AC890+2*L882</f>
        <v>147.33333333333334</v>
      </c>
      <c r="H904" s="86">
        <f>F904*1.5*((G904-F890)*500/2+(G904-F891)*500+(G904-F892)*500)</f>
        <v>1.5101574871708299E-4</v>
      </c>
      <c r="I904" s="62" t="s">
        <v>59</v>
      </c>
      <c r="J904" s="86">
        <v>4.75170301847994E-12</v>
      </c>
      <c r="K904" s="86">
        <f>AC891+3*L882</f>
        <v>244.33333333333334</v>
      </c>
      <c r="L904" s="86">
        <f>J904*1.5*((K904-G904)*500/2+(K904-G904)*500)</f>
        <v>5.1852959189162349E-7</v>
      </c>
      <c r="M904" s="62" t="s">
        <v>83</v>
      </c>
      <c r="N904" s="86">
        <v>7.9847897531211883E-15</v>
      </c>
      <c r="O904" s="86">
        <f>AC892+4*L882</f>
        <v>319.33333333333337</v>
      </c>
      <c r="P904" s="86">
        <f>N904*1.5*((O904-K904)*500/2)</f>
        <v>2.2457221180653353E-10</v>
      </c>
    </row>
    <row r="905" spans="1:20" ht="24.75" x14ac:dyDescent="0.25">
      <c r="A905" s="62" t="s">
        <v>52</v>
      </c>
      <c r="B905" s="86">
        <v>0.99998693968297803</v>
      </c>
      <c r="C905" s="88">
        <f>AC889</f>
        <v>69.666666666666671</v>
      </c>
      <c r="D905" s="86">
        <f>MAX(B905*1.5*((C905-F889)*500/2),0)</f>
        <v>0</v>
      </c>
      <c r="E905" s="62" t="s">
        <v>56</v>
      </c>
      <c r="F905" s="86">
        <v>1.2410612350607279E-4</v>
      </c>
      <c r="G905" s="86">
        <f>AC890+1*L882</f>
        <v>135.33333333333334</v>
      </c>
      <c r="H905" s="86">
        <f>F905*1.5*((G905-F890)*500/2+(G905-F891)*500+(G905-F892)*500)</f>
        <v>10.130162331183195</v>
      </c>
      <c r="I905" s="62" t="s">
        <v>60</v>
      </c>
      <c r="J905" s="86">
        <v>4.0805297577369154E-7</v>
      </c>
      <c r="K905" s="86">
        <f>AC891+2*L882</f>
        <v>232.33333333333334</v>
      </c>
      <c r="L905" s="86">
        <f>J905*1.5*((K905-G905)*500/2+(K905-G905)*500)</f>
        <v>4.4528780981304091E-2</v>
      </c>
      <c r="M905" s="62" t="s">
        <v>59</v>
      </c>
      <c r="N905" s="86">
        <v>6.1611367623456343E-10</v>
      </c>
      <c r="O905" s="86">
        <f>AC892+3*L882</f>
        <v>307.33333333333337</v>
      </c>
      <c r="P905" s="86">
        <f>N905*1.5*((O905-K905)*500/2)</f>
        <v>1.7328197144097102E-5</v>
      </c>
    </row>
    <row r="906" spans="1:20" x14ac:dyDescent="0.25">
      <c r="A906" s="86"/>
      <c r="B906" s="86"/>
      <c r="C906" s="89" t="s">
        <v>89</v>
      </c>
      <c r="D906" s="89">
        <f>SUM(D904:D905)</f>
        <v>0</v>
      </c>
      <c r="E906" s="62" t="s">
        <v>52</v>
      </c>
      <c r="F906" s="86">
        <v>0.99987589242616259</v>
      </c>
      <c r="G906" s="86">
        <f>AC890+0*L882</f>
        <v>123.33333333333334</v>
      </c>
      <c r="H906" s="86">
        <f>F906*1.5*((G906-F890)*500/2+(G906-F891)*500+(G906-F892)*500)</f>
        <v>59117.662139696884</v>
      </c>
      <c r="I906" s="62" t="s">
        <v>56</v>
      </c>
      <c r="J906" s="86">
        <v>1.3378667878329382E-5</v>
      </c>
      <c r="K906" s="86">
        <f>AC891+1*L882</f>
        <v>220.33333333333334</v>
      </c>
      <c r="L906" s="86">
        <f>J906*1.5*((K906-G906)*500/2+(K906-G906)*500)</f>
        <v>1.4599471322226938</v>
      </c>
      <c r="M906" s="62" t="s">
        <v>60</v>
      </c>
      <c r="N906" s="86">
        <v>6.1200429702836032E-6</v>
      </c>
      <c r="O906" s="86">
        <f>AC892+2*L882</f>
        <v>295.33333333333337</v>
      </c>
      <c r="P906" s="86">
        <f>N906*1.5*((O906-K906)*500/2)</f>
        <v>0.17212620853922639</v>
      </c>
    </row>
    <row r="907" spans="1:20" x14ac:dyDescent="0.25">
      <c r="A907" s="86"/>
      <c r="B907" s="86"/>
      <c r="C907" s="86"/>
      <c r="D907" s="86"/>
      <c r="E907" s="86"/>
      <c r="F907" s="86"/>
      <c r="G907" s="89" t="s">
        <v>79</v>
      </c>
      <c r="H907" s="89">
        <f>SUM(H904:H906)</f>
        <v>59127.792453043818</v>
      </c>
      <c r="I907" s="62" t="s">
        <v>52</v>
      </c>
      <c r="J907" s="86">
        <v>0.99660001109481822</v>
      </c>
      <c r="K907" s="86">
        <f>AC891+0*L882</f>
        <v>208.33333333333334</v>
      </c>
      <c r="L907" s="86">
        <f>J907*1.5*((K907-G906)*500/2+(K907-G906)*500)</f>
        <v>95299.876060941984</v>
      </c>
      <c r="M907" s="62" t="s">
        <v>56</v>
      </c>
      <c r="N907" s="86">
        <v>5.0685607031800833E-3</v>
      </c>
      <c r="O907" s="86">
        <f>AC892+1*L882</f>
        <v>283.33333333333337</v>
      </c>
      <c r="P907" s="86">
        <f>N907*1.5*((O907-K907)*500/2)</f>
        <v>142.55326977693989</v>
      </c>
    </row>
    <row r="908" spans="1:20" x14ac:dyDescent="0.25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9" t="s">
        <v>79</v>
      </c>
      <c r="L908" s="89">
        <f>SUM(L904:L907)</f>
        <v>95301.380537373712</v>
      </c>
      <c r="M908" s="62" t="s">
        <v>52</v>
      </c>
      <c r="N908" s="86">
        <v>0.99492531856340327</v>
      </c>
      <c r="O908" s="86">
        <f>AC892+0*L882</f>
        <v>271.33333333333337</v>
      </c>
      <c r="P908" s="86">
        <f>N908*1.5*((O908-K907)*500/2)</f>
        <v>23505.110651060411</v>
      </c>
      <c r="Q908" s="179" t="s">
        <v>80</v>
      </c>
      <c r="R908" s="179"/>
      <c r="S908" s="180">
        <f>D906+H907+L908+P909</f>
        <v>178077.00905479182</v>
      </c>
      <c r="T908" s="180"/>
    </row>
    <row r="909" spans="1:20" x14ac:dyDescent="0.25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9" t="s">
        <v>79</v>
      </c>
      <c r="P909" s="89">
        <f>SUM(P904:P908)</f>
        <v>23647.836064374311</v>
      </c>
      <c r="Q909" s="179"/>
      <c r="R909" s="179"/>
      <c r="S909" s="180"/>
      <c r="T909" s="180"/>
    </row>
    <row r="910" spans="1:20" x14ac:dyDescent="0.25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</row>
    <row r="911" spans="1:20" x14ac:dyDescent="0.25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</row>
    <row r="912" spans="1:20" x14ac:dyDescent="0.25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</row>
    <row r="913" spans="15:18" ht="24" x14ac:dyDescent="0.25">
      <c r="O913" s="131" t="s">
        <v>81</v>
      </c>
      <c r="P913" s="131"/>
      <c r="Q913" s="131">
        <f>(R899+P899+M900+S908)/AC892</f>
        <v>1160.6552788142524</v>
      </c>
      <c r="R913" s="131"/>
    </row>
  </sheetData>
  <mergeCells count="792">
    <mergeCell ref="AA12:AB12"/>
    <mergeCell ref="AC12:AC13"/>
    <mergeCell ref="AD12:AG12"/>
    <mergeCell ref="AH12:AH13"/>
    <mergeCell ref="M7:M8"/>
    <mergeCell ref="N7:N8"/>
    <mergeCell ref="A10:A12"/>
    <mergeCell ref="B10:E12"/>
    <mergeCell ref="G12:K12"/>
    <mergeCell ref="L12:P12"/>
    <mergeCell ref="G5:G8"/>
    <mergeCell ref="I5:I8"/>
    <mergeCell ref="K7:K8"/>
    <mergeCell ref="L7:L8"/>
    <mergeCell ref="Q33:R34"/>
    <mergeCell ref="S33:T34"/>
    <mergeCell ref="O38:P38"/>
    <mergeCell ref="Q38:R38"/>
    <mergeCell ref="A1:B2"/>
    <mergeCell ref="A39:B40"/>
    <mergeCell ref="A18:J18"/>
    <mergeCell ref="O19:P19"/>
    <mergeCell ref="Q19:R19"/>
    <mergeCell ref="L25:L26"/>
    <mergeCell ref="M25:M26"/>
    <mergeCell ref="A27:N27"/>
    <mergeCell ref="Q12:U12"/>
    <mergeCell ref="A3:M3"/>
    <mergeCell ref="O3:V3"/>
    <mergeCell ref="O4:O5"/>
    <mergeCell ref="P4:P5"/>
    <mergeCell ref="Q4:Q5"/>
    <mergeCell ref="T4:T5"/>
    <mergeCell ref="V12:Z12"/>
    <mergeCell ref="A41:M41"/>
    <mergeCell ref="O41:V41"/>
    <mergeCell ref="O42:O43"/>
    <mergeCell ref="P42:P43"/>
    <mergeCell ref="Q42:Q43"/>
    <mergeCell ref="T42:T43"/>
    <mergeCell ref="G43:G46"/>
    <mergeCell ref="I43:I46"/>
    <mergeCell ref="K45:K46"/>
    <mergeCell ref="L45:L46"/>
    <mergeCell ref="Q50:U50"/>
    <mergeCell ref="V50:Z50"/>
    <mergeCell ref="AA50:AB50"/>
    <mergeCell ref="AC50:AC51"/>
    <mergeCell ref="AD50:AG50"/>
    <mergeCell ref="AH50:AH51"/>
    <mergeCell ref="M45:M46"/>
    <mergeCell ref="N45:N46"/>
    <mergeCell ref="A48:A50"/>
    <mergeCell ref="B48:E50"/>
    <mergeCell ref="G50:K50"/>
    <mergeCell ref="L50:P50"/>
    <mergeCell ref="Q71:R72"/>
    <mergeCell ref="S71:T72"/>
    <mergeCell ref="O76:P76"/>
    <mergeCell ref="Q76:R76"/>
    <mergeCell ref="A77:B78"/>
    <mergeCell ref="A79:M79"/>
    <mergeCell ref="O79:V79"/>
    <mergeCell ref="A56:J56"/>
    <mergeCell ref="O57:P57"/>
    <mergeCell ref="Q57:R57"/>
    <mergeCell ref="L63:L64"/>
    <mergeCell ref="M63:M64"/>
    <mergeCell ref="A65:N65"/>
    <mergeCell ref="O80:O81"/>
    <mergeCell ref="P80:P81"/>
    <mergeCell ref="Q80:Q81"/>
    <mergeCell ref="T80:T81"/>
    <mergeCell ref="G81:G84"/>
    <mergeCell ref="I81:I84"/>
    <mergeCell ref="K83:K84"/>
    <mergeCell ref="L83:L84"/>
    <mergeCell ref="M83:M84"/>
    <mergeCell ref="N83:N84"/>
    <mergeCell ref="AD88:AG88"/>
    <mergeCell ref="AH88:AH89"/>
    <mergeCell ref="A94:J94"/>
    <mergeCell ref="O95:P95"/>
    <mergeCell ref="Q95:R95"/>
    <mergeCell ref="A86:A88"/>
    <mergeCell ref="B86:E88"/>
    <mergeCell ref="G88:K88"/>
    <mergeCell ref="L88:P88"/>
    <mergeCell ref="Q88:U88"/>
    <mergeCell ref="V88:Z88"/>
    <mergeCell ref="L101:L102"/>
    <mergeCell ref="M101:M102"/>
    <mergeCell ref="A103:N103"/>
    <mergeCell ref="Q109:R110"/>
    <mergeCell ref="S109:T110"/>
    <mergeCell ref="O114:P114"/>
    <mergeCell ref="Q114:R114"/>
    <mergeCell ref="AA88:AB88"/>
    <mergeCell ref="AC88:AC89"/>
    <mergeCell ref="A124:A126"/>
    <mergeCell ref="B124:E126"/>
    <mergeCell ref="G126:K126"/>
    <mergeCell ref="L126:P126"/>
    <mergeCell ref="A115:B116"/>
    <mergeCell ref="A117:M117"/>
    <mergeCell ref="O117:V117"/>
    <mergeCell ref="O118:O119"/>
    <mergeCell ref="P118:P119"/>
    <mergeCell ref="Q118:Q119"/>
    <mergeCell ref="T118:T119"/>
    <mergeCell ref="G119:G122"/>
    <mergeCell ref="I119:I122"/>
    <mergeCell ref="K121:K122"/>
    <mergeCell ref="Q126:U126"/>
    <mergeCell ref="V126:Z126"/>
    <mergeCell ref="AA126:AB126"/>
    <mergeCell ref="AC126:AC127"/>
    <mergeCell ref="AD126:AG126"/>
    <mergeCell ref="AH126:AH127"/>
    <mergeCell ref="L121:L122"/>
    <mergeCell ref="M121:M122"/>
    <mergeCell ref="N121:N122"/>
    <mergeCell ref="Q147:R148"/>
    <mergeCell ref="S147:T148"/>
    <mergeCell ref="O152:P152"/>
    <mergeCell ref="Q152:R152"/>
    <mergeCell ref="A153:B154"/>
    <mergeCell ref="A155:M155"/>
    <mergeCell ref="O155:V155"/>
    <mergeCell ref="A132:J132"/>
    <mergeCell ref="O133:P133"/>
    <mergeCell ref="Q133:R133"/>
    <mergeCell ref="L139:L140"/>
    <mergeCell ref="M139:M140"/>
    <mergeCell ref="A141:N141"/>
    <mergeCell ref="O156:O157"/>
    <mergeCell ref="P156:P157"/>
    <mergeCell ref="Q156:Q157"/>
    <mergeCell ref="T156:T157"/>
    <mergeCell ref="G157:G160"/>
    <mergeCell ref="I157:I160"/>
    <mergeCell ref="K159:K160"/>
    <mergeCell ref="L159:L160"/>
    <mergeCell ref="M159:M160"/>
    <mergeCell ref="N159:N160"/>
    <mergeCell ref="AD164:AG164"/>
    <mergeCell ref="AH164:AH165"/>
    <mergeCell ref="A170:J170"/>
    <mergeCell ref="O171:P171"/>
    <mergeCell ref="Q171:R171"/>
    <mergeCell ref="A162:A164"/>
    <mergeCell ref="B162:E164"/>
    <mergeCell ref="G164:K164"/>
    <mergeCell ref="L164:P164"/>
    <mergeCell ref="Q164:U164"/>
    <mergeCell ref="V164:Z164"/>
    <mergeCell ref="L177:L178"/>
    <mergeCell ref="M177:M178"/>
    <mergeCell ref="A179:N179"/>
    <mergeCell ref="Q185:R186"/>
    <mergeCell ref="S185:T186"/>
    <mergeCell ref="O190:P190"/>
    <mergeCell ref="Q190:R190"/>
    <mergeCell ref="AA164:AB164"/>
    <mergeCell ref="AC164:AC165"/>
    <mergeCell ref="A200:A202"/>
    <mergeCell ref="B200:E202"/>
    <mergeCell ref="G202:K202"/>
    <mergeCell ref="L202:P202"/>
    <mergeCell ref="A191:B192"/>
    <mergeCell ref="A193:M193"/>
    <mergeCell ref="O193:V193"/>
    <mergeCell ref="O194:O195"/>
    <mergeCell ref="P194:P195"/>
    <mergeCell ref="Q194:Q195"/>
    <mergeCell ref="T194:T195"/>
    <mergeCell ref="G195:G198"/>
    <mergeCell ref="I195:I198"/>
    <mergeCell ref="K197:K198"/>
    <mergeCell ref="Q202:U202"/>
    <mergeCell ref="V202:Z202"/>
    <mergeCell ref="AA202:AB202"/>
    <mergeCell ref="AC202:AC203"/>
    <mergeCell ref="AD202:AG202"/>
    <mergeCell ref="AH202:AH203"/>
    <mergeCell ref="L197:L198"/>
    <mergeCell ref="M197:M198"/>
    <mergeCell ref="N197:N198"/>
    <mergeCell ref="Q223:R224"/>
    <mergeCell ref="S223:T224"/>
    <mergeCell ref="O228:P228"/>
    <mergeCell ref="Q228:R228"/>
    <mergeCell ref="A208:J208"/>
    <mergeCell ref="O209:P209"/>
    <mergeCell ref="Q209:R209"/>
    <mergeCell ref="L215:L216"/>
    <mergeCell ref="M215:M216"/>
    <mergeCell ref="A217:N217"/>
    <mergeCell ref="A229:B230"/>
    <mergeCell ref="A231:M231"/>
    <mergeCell ref="O231:V231"/>
    <mergeCell ref="O232:O233"/>
    <mergeCell ref="P232:P233"/>
    <mergeCell ref="Q232:Q233"/>
    <mergeCell ref="T232:T233"/>
    <mergeCell ref="G233:G236"/>
    <mergeCell ref="I233:I236"/>
    <mergeCell ref="K235:K236"/>
    <mergeCell ref="L235:L236"/>
    <mergeCell ref="M235:M236"/>
    <mergeCell ref="N235:N236"/>
    <mergeCell ref="AH240:AH241"/>
    <mergeCell ref="A246:J246"/>
    <mergeCell ref="O247:P247"/>
    <mergeCell ref="Q247:R247"/>
    <mergeCell ref="L253:L254"/>
    <mergeCell ref="M253:M254"/>
    <mergeCell ref="A255:N255"/>
    <mergeCell ref="Q261:R262"/>
    <mergeCell ref="S261:T262"/>
    <mergeCell ref="A238:A240"/>
    <mergeCell ref="B238:E240"/>
    <mergeCell ref="G240:K240"/>
    <mergeCell ref="L240:P240"/>
    <mergeCell ref="Q240:U240"/>
    <mergeCell ref="V240:Z240"/>
    <mergeCell ref="AA240:AB240"/>
    <mergeCell ref="AC240:AC241"/>
    <mergeCell ref="AD240:AG240"/>
    <mergeCell ref="O266:P266"/>
    <mergeCell ref="Q266:R266"/>
    <mergeCell ref="A268:B269"/>
    <mergeCell ref="A270:M270"/>
    <mergeCell ref="O270:V270"/>
    <mergeCell ref="O271:O272"/>
    <mergeCell ref="P271:P272"/>
    <mergeCell ref="Q271:Q272"/>
    <mergeCell ref="T271:T272"/>
    <mergeCell ref="G272:G275"/>
    <mergeCell ref="I272:I275"/>
    <mergeCell ref="K274:K275"/>
    <mergeCell ref="L274:L275"/>
    <mergeCell ref="M274:M275"/>
    <mergeCell ref="N274:N275"/>
    <mergeCell ref="AH279:AH280"/>
    <mergeCell ref="A285:J285"/>
    <mergeCell ref="O286:P286"/>
    <mergeCell ref="Q286:R286"/>
    <mergeCell ref="L292:L293"/>
    <mergeCell ref="M292:M293"/>
    <mergeCell ref="A294:N294"/>
    <mergeCell ref="Q300:R301"/>
    <mergeCell ref="S300:T301"/>
    <mergeCell ref="A277:A279"/>
    <mergeCell ref="B277:E279"/>
    <mergeCell ref="G279:K279"/>
    <mergeCell ref="L279:P279"/>
    <mergeCell ref="Q279:U279"/>
    <mergeCell ref="V279:Z279"/>
    <mergeCell ref="AA279:AB279"/>
    <mergeCell ref="AC279:AC280"/>
    <mergeCell ref="AD279:AG279"/>
    <mergeCell ref="O305:P305"/>
    <mergeCell ref="Q305:R305"/>
    <mergeCell ref="A306:B307"/>
    <mergeCell ref="A308:M308"/>
    <mergeCell ref="O308:V308"/>
    <mergeCell ref="O309:O310"/>
    <mergeCell ref="P309:P310"/>
    <mergeCell ref="Q309:Q310"/>
    <mergeCell ref="T309:T310"/>
    <mergeCell ref="G310:G313"/>
    <mergeCell ref="I310:I313"/>
    <mergeCell ref="K312:K313"/>
    <mergeCell ref="L312:L313"/>
    <mergeCell ref="M312:M313"/>
    <mergeCell ref="N312:N313"/>
    <mergeCell ref="AH317:AH318"/>
    <mergeCell ref="A323:J323"/>
    <mergeCell ref="O324:P324"/>
    <mergeCell ref="Q324:R324"/>
    <mergeCell ref="L330:L331"/>
    <mergeCell ref="M330:M331"/>
    <mergeCell ref="A332:N332"/>
    <mergeCell ref="Q338:R339"/>
    <mergeCell ref="S338:T339"/>
    <mergeCell ref="A315:A317"/>
    <mergeCell ref="B315:E317"/>
    <mergeCell ref="G317:K317"/>
    <mergeCell ref="L317:P317"/>
    <mergeCell ref="Q317:U317"/>
    <mergeCell ref="V317:Z317"/>
    <mergeCell ref="AA317:AB317"/>
    <mergeCell ref="AC317:AC318"/>
    <mergeCell ref="AD317:AG317"/>
    <mergeCell ref="O343:P343"/>
    <mergeCell ref="Q343:R343"/>
    <mergeCell ref="A344:B345"/>
    <mergeCell ref="A346:M346"/>
    <mergeCell ref="O346:V346"/>
    <mergeCell ref="O347:O348"/>
    <mergeCell ref="P347:P348"/>
    <mergeCell ref="Q347:Q348"/>
    <mergeCell ref="T347:T348"/>
    <mergeCell ref="G348:G351"/>
    <mergeCell ref="I348:I351"/>
    <mergeCell ref="K350:K351"/>
    <mergeCell ref="L350:L351"/>
    <mergeCell ref="M350:M351"/>
    <mergeCell ref="N350:N351"/>
    <mergeCell ref="AH355:AH356"/>
    <mergeCell ref="A361:J361"/>
    <mergeCell ref="O362:P362"/>
    <mergeCell ref="Q362:R362"/>
    <mergeCell ref="L368:L369"/>
    <mergeCell ref="M368:M369"/>
    <mergeCell ref="A370:N370"/>
    <mergeCell ref="Q376:R377"/>
    <mergeCell ref="S376:T377"/>
    <mergeCell ref="A353:A355"/>
    <mergeCell ref="B353:E355"/>
    <mergeCell ref="G355:K355"/>
    <mergeCell ref="L355:P355"/>
    <mergeCell ref="Q355:U355"/>
    <mergeCell ref="V355:Z355"/>
    <mergeCell ref="AA355:AB355"/>
    <mergeCell ref="AC355:AC356"/>
    <mergeCell ref="AD355:AG355"/>
    <mergeCell ref="O381:P381"/>
    <mergeCell ref="Q381:R381"/>
    <mergeCell ref="A382:B383"/>
    <mergeCell ref="A384:M384"/>
    <mergeCell ref="O384:V384"/>
    <mergeCell ref="O385:O386"/>
    <mergeCell ref="P385:P386"/>
    <mergeCell ref="Q385:Q386"/>
    <mergeCell ref="T385:T386"/>
    <mergeCell ref="G386:G389"/>
    <mergeCell ref="I386:I389"/>
    <mergeCell ref="K388:K389"/>
    <mergeCell ref="L388:L389"/>
    <mergeCell ref="M388:M389"/>
    <mergeCell ref="N388:N389"/>
    <mergeCell ref="AH393:AH394"/>
    <mergeCell ref="A399:J399"/>
    <mergeCell ref="O400:P400"/>
    <mergeCell ref="Q400:R400"/>
    <mergeCell ref="L406:L407"/>
    <mergeCell ref="M406:M407"/>
    <mergeCell ref="A408:N408"/>
    <mergeCell ref="Q414:R415"/>
    <mergeCell ref="S414:T415"/>
    <mergeCell ref="A391:A393"/>
    <mergeCell ref="B391:E393"/>
    <mergeCell ref="G393:K393"/>
    <mergeCell ref="L393:P393"/>
    <mergeCell ref="Q393:U393"/>
    <mergeCell ref="V393:Z393"/>
    <mergeCell ref="AA393:AB393"/>
    <mergeCell ref="AC393:AC394"/>
    <mergeCell ref="AD393:AG393"/>
    <mergeCell ref="O419:P419"/>
    <mergeCell ref="Q419:R419"/>
    <mergeCell ref="A420:B421"/>
    <mergeCell ref="A422:M422"/>
    <mergeCell ref="O422:V422"/>
    <mergeCell ref="O423:O424"/>
    <mergeCell ref="P423:P424"/>
    <mergeCell ref="Q423:Q424"/>
    <mergeCell ref="T423:T424"/>
    <mergeCell ref="G424:G427"/>
    <mergeCell ref="I424:I427"/>
    <mergeCell ref="K426:K427"/>
    <mergeCell ref="L426:L427"/>
    <mergeCell ref="M426:M427"/>
    <mergeCell ref="N426:N427"/>
    <mergeCell ref="AH431:AH432"/>
    <mergeCell ref="A437:J437"/>
    <mergeCell ref="O438:P438"/>
    <mergeCell ref="Q438:R438"/>
    <mergeCell ref="L444:L445"/>
    <mergeCell ref="M444:M445"/>
    <mergeCell ref="A446:N446"/>
    <mergeCell ref="Q452:R453"/>
    <mergeCell ref="S452:T453"/>
    <mergeCell ref="A429:A431"/>
    <mergeCell ref="B429:E431"/>
    <mergeCell ref="G431:K431"/>
    <mergeCell ref="L431:P431"/>
    <mergeCell ref="Q431:U431"/>
    <mergeCell ref="V431:Z431"/>
    <mergeCell ref="AA431:AB431"/>
    <mergeCell ref="AC431:AC432"/>
    <mergeCell ref="AD431:AG431"/>
    <mergeCell ref="O457:P457"/>
    <mergeCell ref="Q457:R457"/>
    <mergeCell ref="A458:B459"/>
    <mergeCell ref="A460:M460"/>
    <mergeCell ref="O460:V460"/>
    <mergeCell ref="O461:O462"/>
    <mergeCell ref="P461:P462"/>
    <mergeCell ref="Q461:Q462"/>
    <mergeCell ref="T461:T462"/>
    <mergeCell ref="G462:G465"/>
    <mergeCell ref="I462:I465"/>
    <mergeCell ref="K464:K465"/>
    <mergeCell ref="L464:L465"/>
    <mergeCell ref="M464:M465"/>
    <mergeCell ref="N464:N465"/>
    <mergeCell ref="AH469:AH470"/>
    <mergeCell ref="A475:J475"/>
    <mergeCell ref="O476:P476"/>
    <mergeCell ref="Q476:R476"/>
    <mergeCell ref="L482:L483"/>
    <mergeCell ref="M482:M483"/>
    <mergeCell ref="A484:N484"/>
    <mergeCell ref="Q490:R491"/>
    <mergeCell ref="S490:T491"/>
    <mergeCell ref="A467:A469"/>
    <mergeCell ref="B467:E469"/>
    <mergeCell ref="G469:K469"/>
    <mergeCell ref="L469:P469"/>
    <mergeCell ref="Q469:U469"/>
    <mergeCell ref="V469:Z469"/>
    <mergeCell ref="AA469:AB469"/>
    <mergeCell ref="AC469:AC470"/>
    <mergeCell ref="AD469:AG469"/>
    <mergeCell ref="O495:P495"/>
    <mergeCell ref="Q495:R495"/>
    <mergeCell ref="A496:B497"/>
    <mergeCell ref="A498:M498"/>
    <mergeCell ref="O498:V498"/>
    <mergeCell ref="O499:O500"/>
    <mergeCell ref="P499:P500"/>
    <mergeCell ref="Q499:Q500"/>
    <mergeCell ref="T499:T500"/>
    <mergeCell ref="G500:G503"/>
    <mergeCell ref="I500:I503"/>
    <mergeCell ref="K502:K503"/>
    <mergeCell ref="L502:L503"/>
    <mergeCell ref="M502:M503"/>
    <mergeCell ref="N502:N503"/>
    <mergeCell ref="AH507:AH508"/>
    <mergeCell ref="A513:J513"/>
    <mergeCell ref="O514:P514"/>
    <mergeCell ref="Q514:R514"/>
    <mergeCell ref="L520:L521"/>
    <mergeCell ref="M520:M521"/>
    <mergeCell ref="A522:N522"/>
    <mergeCell ref="Q528:R529"/>
    <mergeCell ref="S528:T529"/>
    <mergeCell ref="A505:A507"/>
    <mergeCell ref="B505:E507"/>
    <mergeCell ref="G507:K507"/>
    <mergeCell ref="L507:P507"/>
    <mergeCell ref="Q507:U507"/>
    <mergeCell ref="V507:Z507"/>
    <mergeCell ref="AA507:AB507"/>
    <mergeCell ref="AC507:AC508"/>
    <mergeCell ref="AD507:AG507"/>
    <mergeCell ref="O533:P533"/>
    <mergeCell ref="Q533:R533"/>
    <mergeCell ref="A534:B535"/>
    <mergeCell ref="A536:M536"/>
    <mergeCell ref="O536:V536"/>
    <mergeCell ref="O537:O538"/>
    <mergeCell ref="P537:P538"/>
    <mergeCell ref="Q537:Q538"/>
    <mergeCell ref="T537:T538"/>
    <mergeCell ref="G538:G541"/>
    <mergeCell ref="I538:I541"/>
    <mergeCell ref="K540:K541"/>
    <mergeCell ref="L540:L541"/>
    <mergeCell ref="M540:M541"/>
    <mergeCell ref="N540:N541"/>
    <mergeCell ref="AH545:AH546"/>
    <mergeCell ref="A551:J551"/>
    <mergeCell ref="O552:P552"/>
    <mergeCell ref="Q552:R552"/>
    <mergeCell ref="L558:L559"/>
    <mergeCell ref="M558:M559"/>
    <mergeCell ref="A560:N560"/>
    <mergeCell ref="Q566:R567"/>
    <mergeCell ref="S566:T567"/>
    <mergeCell ref="A543:A545"/>
    <mergeCell ref="B543:E545"/>
    <mergeCell ref="G545:K545"/>
    <mergeCell ref="L545:P545"/>
    <mergeCell ref="Q545:U545"/>
    <mergeCell ref="V545:Z545"/>
    <mergeCell ref="AA545:AB545"/>
    <mergeCell ref="AC545:AC546"/>
    <mergeCell ref="AD545:AG545"/>
    <mergeCell ref="O571:P571"/>
    <mergeCell ref="Q571:R571"/>
    <mergeCell ref="A572:B573"/>
    <mergeCell ref="A574:M574"/>
    <mergeCell ref="O574:V574"/>
    <mergeCell ref="O575:O576"/>
    <mergeCell ref="P575:P576"/>
    <mergeCell ref="Q575:Q576"/>
    <mergeCell ref="T575:T576"/>
    <mergeCell ref="G576:G579"/>
    <mergeCell ref="I576:I579"/>
    <mergeCell ref="K578:K579"/>
    <mergeCell ref="L578:L579"/>
    <mergeCell ref="M578:M579"/>
    <mergeCell ref="N578:N579"/>
    <mergeCell ref="AH583:AH584"/>
    <mergeCell ref="A589:J589"/>
    <mergeCell ref="O590:P590"/>
    <mergeCell ref="Q590:R590"/>
    <mergeCell ref="L596:L597"/>
    <mergeCell ref="M596:M597"/>
    <mergeCell ref="A598:N598"/>
    <mergeCell ref="Q604:R605"/>
    <mergeCell ref="S604:T605"/>
    <mergeCell ref="A581:A583"/>
    <mergeCell ref="B581:E583"/>
    <mergeCell ref="G583:K583"/>
    <mergeCell ref="L583:P583"/>
    <mergeCell ref="Q583:U583"/>
    <mergeCell ref="V583:Z583"/>
    <mergeCell ref="AA583:AB583"/>
    <mergeCell ref="AC583:AC584"/>
    <mergeCell ref="AD583:AG583"/>
    <mergeCell ref="O609:P609"/>
    <mergeCell ref="Q609:R609"/>
    <mergeCell ref="A610:B611"/>
    <mergeCell ref="A612:M612"/>
    <mergeCell ref="O612:V612"/>
    <mergeCell ref="O613:O614"/>
    <mergeCell ref="P613:P614"/>
    <mergeCell ref="Q613:Q614"/>
    <mergeCell ref="T613:T614"/>
    <mergeCell ref="G614:G617"/>
    <mergeCell ref="I614:I617"/>
    <mergeCell ref="K616:K617"/>
    <mergeCell ref="L616:L617"/>
    <mergeCell ref="M616:M617"/>
    <mergeCell ref="N616:N617"/>
    <mergeCell ref="AH621:AH622"/>
    <mergeCell ref="A627:J627"/>
    <mergeCell ref="O628:P628"/>
    <mergeCell ref="Q628:R628"/>
    <mergeCell ref="L634:L635"/>
    <mergeCell ref="M634:M635"/>
    <mergeCell ref="A636:N636"/>
    <mergeCell ref="Q642:R643"/>
    <mergeCell ref="S642:T643"/>
    <mergeCell ref="A619:A621"/>
    <mergeCell ref="B619:E621"/>
    <mergeCell ref="G621:K621"/>
    <mergeCell ref="L621:P621"/>
    <mergeCell ref="Q621:U621"/>
    <mergeCell ref="V621:Z621"/>
    <mergeCell ref="AA621:AB621"/>
    <mergeCell ref="AC621:AC622"/>
    <mergeCell ref="AD621:AG621"/>
    <mergeCell ref="O647:P647"/>
    <mergeCell ref="Q647:R647"/>
    <mergeCell ref="A648:B649"/>
    <mergeCell ref="A650:M650"/>
    <mergeCell ref="O650:V650"/>
    <mergeCell ref="O651:O652"/>
    <mergeCell ref="P651:P652"/>
    <mergeCell ref="Q651:Q652"/>
    <mergeCell ref="T651:T652"/>
    <mergeCell ref="G652:G655"/>
    <mergeCell ref="I652:I655"/>
    <mergeCell ref="K654:K655"/>
    <mergeCell ref="L654:L655"/>
    <mergeCell ref="M654:M655"/>
    <mergeCell ref="N654:N655"/>
    <mergeCell ref="AH659:AH660"/>
    <mergeCell ref="A665:J665"/>
    <mergeCell ref="O666:P666"/>
    <mergeCell ref="Q666:R666"/>
    <mergeCell ref="L672:L673"/>
    <mergeCell ref="M672:M673"/>
    <mergeCell ref="A674:N674"/>
    <mergeCell ref="Q680:R681"/>
    <mergeCell ref="S680:T681"/>
    <mergeCell ref="A657:A659"/>
    <mergeCell ref="B657:E659"/>
    <mergeCell ref="G659:K659"/>
    <mergeCell ref="L659:P659"/>
    <mergeCell ref="Q659:U659"/>
    <mergeCell ref="V659:Z659"/>
    <mergeCell ref="AA659:AB659"/>
    <mergeCell ref="AC659:AC660"/>
    <mergeCell ref="AD659:AG659"/>
    <mergeCell ref="O685:P685"/>
    <mergeCell ref="Q685:R685"/>
    <mergeCell ref="A686:B687"/>
    <mergeCell ref="A688:M688"/>
    <mergeCell ref="O688:V688"/>
    <mergeCell ref="O689:O690"/>
    <mergeCell ref="P689:P690"/>
    <mergeCell ref="Q689:Q690"/>
    <mergeCell ref="T689:T690"/>
    <mergeCell ref="G690:G693"/>
    <mergeCell ref="I690:I693"/>
    <mergeCell ref="K692:K693"/>
    <mergeCell ref="L692:L693"/>
    <mergeCell ref="M692:M693"/>
    <mergeCell ref="N692:N693"/>
    <mergeCell ref="AH697:AH698"/>
    <mergeCell ref="A703:J703"/>
    <mergeCell ref="O704:P704"/>
    <mergeCell ref="Q704:R704"/>
    <mergeCell ref="L710:L711"/>
    <mergeCell ref="M710:M711"/>
    <mergeCell ref="A712:N712"/>
    <mergeCell ref="Q718:R719"/>
    <mergeCell ref="S718:T719"/>
    <mergeCell ref="A695:A697"/>
    <mergeCell ref="B695:E697"/>
    <mergeCell ref="G697:K697"/>
    <mergeCell ref="L697:P697"/>
    <mergeCell ref="Q697:U697"/>
    <mergeCell ref="V697:Z697"/>
    <mergeCell ref="AA697:AB697"/>
    <mergeCell ref="AC697:AC698"/>
    <mergeCell ref="AD697:AG697"/>
    <mergeCell ref="O723:P723"/>
    <mergeCell ref="Q723:R723"/>
    <mergeCell ref="A724:B725"/>
    <mergeCell ref="A726:M726"/>
    <mergeCell ref="O726:V726"/>
    <mergeCell ref="O727:O728"/>
    <mergeCell ref="P727:P728"/>
    <mergeCell ref="Q727:Q728"/>
    <mergeCell ref="T727:T728"/>
    <mergeCell ref="G728:G731"/>
    <mergeCell ref="I728:I731"/>
    <mergeCell ref="K730:K731"/>
    <mergeCell ref="L730:L731"/>
    <mergeCell ref="M730:M731"/>
    <mergeCell ref="N730:N731"/>
    <mergeCell ref="AH735:AH736"/>
    <mergeCell ref="A741:J741"/>
    <mergeCell ref="O742:P742"/>
    <mergeCell ref="Q742:R742"/>
    <mergeCell ref="L748:L749"/>
    <mergeCell ref="M748:M749"/>
    <mergeCell ref="A750:N750"/>
    <mergeCell ref="Q756:R757"/>
    <mergeCell ref="S756:T757"/>
    <mergeCell ref="A733:A735"/>
    <mergeCell ref="B733:E735"/>
    <mergeCell ref="G735:K735"/>
    <mergeCell ref="L735:P735"/>
    <mergeCell ref="Q735:U735"/>
    <mergeCell ref="V735:Z735"/>
    <mergeCell ref="AA735:AB735"/>
    <mergeCell ref="AC735:AC736"/>
    <mergeCell ref="AD735:AG735"/>
    <mergeCell ref="O761:P761"/>
    <mergeCell ref="Q761:R761"/>
    <mergeCell ref="A762:B763"/>
    <mergeCell ref="A764:M764"/>
    <mergeCell ref="O764:V764"/>
    <mergeCell ref="O765:O766"/>
    <mergeCell ref="P765:P766"/>
    <mergeCell ref="Q765:Q766"/>
    <mergeCell ref="T765:T766"/>
    <mergeCell ref="G766:G769"/>
    <mergeCell ref="I766:I769"/>
    <mergeCell ref="K768:K769"/>
    <mergeCell ref="L768:L769"/>
    <mergeCell ref="M768:M769"/>
    <mergeCell ref="N768:N769"/>
    <mergeCell ref="AH773:AH774"/>
    <mergeCell ref="A779:J779"/>
    <mergeCell ref="O780:P780"/>
    <mergeCell ref="Q780:R780"/>
    <mergeCell ref="L786:L787"/>
    <mergeCell ref="M786:M787"/>
    <mergeCell ref="A788:N788"/>
    <mergeCell ref="Q794:R795"/>
    <mergeCell ref="S794:T795"/>
    <mergeCell ref="A771:A773"/>
    <mergeCell ref="B771:E773"/>
    <mergeCell ref="G773:K773"/>
    <mergeCell ref="L773:P773"/>
    <mergeCell ref="Q773:U773"/>
    <mergeCell ref="V773:Z773"/>
    <mergeCell ref="AA773:AB773"/>
    <mergeCell ref="AC773:AC774"/>
    <mergeCell ref="AD773:AG773"/>
    <mergeCell ref="O799:P799"/>
    <mergeCell ref="Q799:R799"/>
    <mergeCell ref="A800:B801"/>
    <mergeCell ref="A802:M802"/>
    <mergeCell ref="O802:V802"/>
    <mergeCell ref="O803:O804"/>
    <mergeCell ref="P803:P804"/>
    <mergeCell ref="Q803:Q804"/>
    <mergeCell ref="T803:T804"/>
    <mergeCell ref="G804:G807"/>
    <mergeCell ref="I804:I807"/>
    <mergeCell ref="K806:K807"/>
    <mergeCell ref="L806:L807"/>
    <mergeCell ref="M806:M807"/>
    <mergeCell ref="N806:N807"/>
    <mergeCell ref="AH811:AH812"/>
    <mergeCell ref="A817:J817"/>
    <mergeCell ref="O818:P818"/>
    <mergeCell ref="Q818:R818"/>
    <mergeCell ref="L824:L825"/>
    <mergeCell ref="M824:M825"/>
    <mergeCell ref="A826:N826"/>
    <mergeCell ref="Q832:R833"/>
    <mergeCell ref="S832:T833"/>
    <mergeCell ref="A809:A811"/>
    <mergeCell ref="B809:E811"/>
    <mergeCell ref="G811:K811"/>
    <mergeCell ref="L811:P811"/>
    <mergeCell ref="Q811:U811"/>
    <mergeCell ref="V811:Z811"/>
    <mergeCell ref="AA811:AB811"/>
    <mergeCell ref="AC811:AC812"/>
    <mergeCell ref="AD811:AG811"/>
    <mergeCell ref="O837:P837"/>
    <mergeCell ref="Q837:R837"/>
    <mergeCell ref="A838:B839"/>
    <mergeCell ref="A840:M840"/>
    <mergeCell ref="O840:V840"/>
    <mergeCell ref="O841:O842"/>
    <mergeCell ref="P841:P842"/>
    <mergeCell ref="Q841:Q842"/>
    <mergeCell ref="T841:T842"/>
    <mergeCell ref="G842:G845"/>
    <mergeCell ref="I842:I845"/>
    <mergeCell ref="K844:K845"/>
    <mergeCell ref="L844:L845"/>
    <mergeCell ref="M844:M845"/>
    <mergeCell ref="N844:N845"/>
    <mergeCell ref="AH849:AH850"/>
    <mergeCell ref="A855:J855"/>
    <mergeCell ref="O856:P856"/>
    <mergeCell ref="Q856:R856"/>
    <mergeCell ref="L862:L863"/>
    <mergeCell ref="M862:M863"/>
    <mergeCell ref="A864:N864"/>
    <mergeCell ref="Q870:R871"/>
    <mergeCell ref="S870:T871"/>
    <mergeCell ref="A847:A849"/>
    <mergeCell ref="B847:E849"/>
    <mergeCell ref="G849:K849"/>
    <mergeCell ref="L849:P849"/>
    <mergeCell ref="Q849:U849"/>
    <mergeCell ref="V849:Z849"/>
    <mergeCell ref="AA849:AB849"/>
    <mergeCell ref="AC849:AC850"/>
    <mergeCell ref="AD849:AG849"/>
    <mergeCell ref="O875:P875"/>
    <mergeCell ref="Q875:R875"/>
    <mergeCell ref="A876:B877"/>
    <mergeCell ref="A878:M878"/>
    <mergeCell ref="O878:V878"/>
    <mergeCell ref="O879:O880"/>
    <mergeCell ref="P879:P880"/>
    <mergeCell ref="Q879:Q880"/>
    <mergeCell ref="T879:T880"/>
    <mergeCell ref="G880:G883"/>
    <mergeCell ref="I880:I883"/>
    <mergeCell ref="K882:K883"/>
    <mergeCell ref="L882:L883"/>
    <mergeCell ref="M882:M883"/>
    <mergeCell ref="N882:N883"/>
    <mergeCell ref="O913:P913"/>
    <mergeCell ref="Q913:R913"/>
    <mergeCell ref="AH887:AH888"/>
    <mergeCell ref="A893:J893"/>
    <mergeCell ref="O894:P894"/>
    <mergeCell ref="Q894:R894"/>
    <mergeCell ref="L900:L901"/>
    <mergeCell ref="M900:M901"/>
    <mergeCell ref="A902:N902"/>
    <mergeCell ref="Q908:R909"/>
    <mergeCell ref="S908:T909"/>
    <mergeCell ref="A885:A887"/>
    <mergeCell ref="B885:E887"/>
    <mergeCell ref="G887:K887"/>
    <mergeCell ref="L887:P887"/>
    <mergeCell ref="Q887:U887"/>
    <mergeCell ref="V887:Z887"/>
    <mergeCell ref="AA887:AB887"/>
    <mergeCell ref="AC887:AC888"/>
    <mergeCell ref="AD887:AG8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13"/>
  <sheetViews>
    <sheetView topLeftCell="A178" workbookViewId="0">
      <selection activeCell="W147" sqref="W147"/>
    </sheetView>
  </sheetViews>
  <sheetFormatPr defaultRowHeight="15" x14ac:dyDescent="0.25"/>
  <cols>
    <col min="1" max="1" width="9.28515625" customWidth="1"/>
    <col min="2" max="2" width="12" bestFit="1" customWidth="1"/>
    <col min="3" max="3" width="9.85546875" customWidth="1"/>
    <col min="4" max="4" width="8.42578125" customWidth="1"/>
    <col min="5" max="6" width="12" bestFit="1" customWidth="1"/>
    <col min="7" max="7" width="11.5703125" bestFit="1" customWidth="1"/>
    <col min="8" max="8" width="12" bestFit="1" customWidth="1"/>
    <col min="9" max="9" width="16.28515625" customWidth="1"/>
    <col min="10" max="10" width="12.42578125" customWidth="1"/>
    <col min="11" max="11" width="12.5703125" bestFit="1" customWidth="1"/>
    <col min="12" max="12" width="14.42578125" customWidth="1"/>
    <col min="13" max="13" width="13.42578125" customWidth="1"/>
    <col min="14" max="16" width="12" bestFit="1" customWidth="1"/>
    <col min="17" max="17" width="12.28515625" customWidth="1"/>
    <col min="18" max="18" width="14.140625" customWidth="1"/>
    <col min="19" max="20" width="12" bestFit="1" customWidth="1"/>
    <col min="21" max="21" width="14.28515625" bestFit="1" customWidth="1"/>
    <col min="22" max="22" width="10.7109375" bestFit="1" customWidth="1"/>
    <col min="23" max="23" width="7.140625" bestFit="1" customWidth="1"/>
    <col min="24" max="28" width="12" bestFit="1" customWidth="1"/>
    <col min="29" max="29" width="10.28515625" customWidth="1"/>
    <col min="30" max="33" width="3.140625" bestFit="1" customWidth="1"/>
  </cols>
  <sheetData>
    <row r="1" spans="1:34" x14ac:dyDescent="0.25">
      <c r="A1" s="181" t="s">
        <v>93</v>
      </c>
      <c r="B1" s="182"/>
    </row>
    <row r="2" spans="1:34" ht="15.75" thickBot="1" x14ac:dyDescent="0.3">
      <c r="A2" s="183"/>
      <c r="B2" s="184"/>
    </row>
    <row r="3" spans="1:34" ht="19.5" customHeight="1" x14ac:dyDescent="0.35">
      <c r="A3" s="185" t="s">
        <v>14</v>
      </c>
      <c r="B3" s="18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O3" s="166" t="s">
        <v>72</v>
      </c>
      <c r="P3" s="166"/>
      <c r="Q3" s="166"/>
      <c r="R3" s="166"/>
      <c r="S3" s="166"/>
      <c r="T3" s="166"/>
      <c r="U3" s="166"/>
      <c r="V3" s="166"/>
    </row>
    <row r="4" spans="1:34" ht="36" x14ac:dyDescent="0.25">
      <c r="A4" s="4" t="s">
        <v>15</v>
      </c>
      <c r="B4" s="4" t="s">
        <v>16</v>
      </c>
      <c r="C4" s="4" t="s">
        <v>31</v>
      </c>
      <c r="D4" s="6" t="s">
        <v>17</v>
      </c>
      <c r="E4" s="6" t="s">
        <v>18</v>
      </c>
      <c r="F4" s="6" t="s">
        <v>19</v>
      </c>
      <c r="G4" s="6" t="s">
        <v>20</v>
      </c>
      <c r="H4" s="6" t="s">
        <v>21</v>
      </c>
      <c r="I4" s="6" t="s">
        <v>22</v>
      </c>
      <c r="J4" s="6" t="s">
        <v>23</v>
      </c>
      <c r="K4" s="6" t="s">
        <v>24</v>
      </c>
      <c r="L4" s="6" t="s">
        <v>25</v>
      </c>
      <c r="M4" s="6" t="s">
        <v>26</v>
      </c>
      <c r="N4" s="8"/>
      <c r="O4" s="167" t="s">
        <v>32</v>
      </c>
      <c r="P4" s="167" t="s">
        <v>35</v>
      </c>
      <c r="Q4" s="167" t="s">
        <v>66</v>
      </c>
      <c r="R4" s="99" t="s">
        <v>67</v>
      </c>
      <c r="S4" s="99" t="s">
        <v>68</v>
      </c>
      <c r="T4" s="167" t="s">
        <v>69</v>
      </c>
      <c r="U4" s="71" t="s">
        <v>33</v>
      </c>
      <c r="V4" s="99" t="s">
        <v>70</v>
      </c>
    </row>
    <row r="5" spans="1:34" x14ac:dyDescent="0.25">
      <c r="A5" s="3" t="s">
        <v>27</v>
      </c>
      <c r="B5" s="3">
        <v>0</v>
      </c>
      <c r="C5" s="3">
        <v>0.3</v>
      </c>
      <c r="D5" s="3">
        <v>243</v>
      </c>
      <c r="E5" s="3">
        <v>1.73</v>
      </c>
      <c r="F5" s="3">
        <v>5</v>
      </c>
      <c r="G5" s="169">
        <v>12</v>
      </c>
      <c r="H5" s="3">
        <v>1820</v>
      </c>
      <c r="I5" s="169">
        <v>19645</v>
      </c>
      <c r="J5" s="3">
        <v>20</v>
      </c>
      <c r="K5" s="3">
        <v>40</v>
      </c>
      <c r="L5" s="3">
        <v>500</v>
      </c>
      <c r="M5" s="3">
        <v>1000</v>
      </c>
      <c r="O5" s="168"/>
      <c r="P5" s="168"/>
      <c r="Q5" s="168"/>
      <c r="R5" s="72" t="s">
        <v>71</v>
      </c>
      <c r="S5" s="72" t="s">
        <v>71</v>
      </c>
      <c r="T5" s="168"/>
      <c r="U5" s="73">
        <v>500</v>
      </c>
      <c r="V5" s="3">
        <v>1.5</v>
      </c>
    </row>
    <row r="6" spans="1:34" x14ac:dyDescent="0.25">
      <c r="A6" s="3" t="s">
        <v>28</v>
      </c>
      <c r="B6" s="3">
        <v>0</v>
      </c>
      <c r="C6" s="3">
        <v>0.3</v>
      </c>
      <c r="D6" s="3">
        <v>254</v>
      </c>
      <c r="E6" s="3">
        <v>1.88</v>
      </c>
      <c r="F6" s="3">
        <v>3</v>
      </c>
      <c r="G6" s="170"/>
      <c r="H6" s="3">
        <v>2720</v>
      </c>
      <c r="I6" s="170"/>
      <c r="J6" s="5"/>
      <c r="K6" s="5"/>
      <c r="L6" s="5"/>
      <c r="M6" s="5"/>
      <c r="O6" s="74">
        <v>1</v>
      </c>
      <c r="P6" s="74">
        <v>106</v>
      </c>
      <c r="Q6" s="74">
        <v>110</v>
      </c>
      <c r="R6" s="74">
        <v>6</v>
      </c>
      <c r="S6" s="74">
        <v>5</v>
      </c>
      <c r="T6" s="74">
        <f>R6*$U$5/60+S6</f>
        <v>55</v>
      </c>
      <c r="U6" s="75"/>
    </row>
    <row r="7" spans="1:34" x14ac:dyDescent="0.25">
      <c r="A7" s="3" t="s">
        <v>29</v>
      </c>
      <c r="B7" s="3">
        <v>0</v>
      </c>
      <c r="C7" s="3">
        <v>0.3</v>
      </c>
      <c r="D7" s="3">
        <v>143</v>
      </c>
      <c r="E7" s="3">
        <v>2.4300000000000002</v>
      </c>
      <c r="F7" s="3">
        <v>8</v>
      </c>
      <c r="G7" s="170"/>
      <c r="H7" s="3">
        <v>3700</v>
      </c>
      <c r="I7" s="170"/>
      <c r="J7" s="5"/>
      <c r="K7" s="140" t="s">
        <v>73</v>
      </c>
      <c r="L7" s="141">
        <v>12</v>
      </c>
      <c r="M7" s="140" t="s">
        <v>74</v>
      </c>
      <c r="N7" s="141">
        <v>19645</v>
      </c>
      <c r="O7" s="74">
        <v>2</v>
      </c>
      <c r="P7" s="74">
        <v>76</v>
      </c>
      <c r="Q7" s="74">
        <v>40</v>
      </c>
      <c r="R7" s="74">
        <v>9</v>
      </c>
      <c r="S7" s="74">
        <v>2</v>
      </c>
      <c r="T7" s="74">
        <f t="shared" ref="T7:T9" si="0">R7*$U$5/60+S7</f>
        <v>77</v>
      </c>
      <c r="U7" s="75"/>
    </row>
    <row r="8" spans="1:34" x14ac:dyDescent="0.25">
      <c r="A8" s="3" t="s">
        <v>30</v>
      </c>
      <c r="B8" s="3">
        <v>0</v>
      </c>
      <c r="C8" s="3">
        <v>0.3</v>
      </c>
      <c r="D8" s="3">
        <v>449</v>
      </c>
      <c r="E8" s="3">
        <v>2.5299999999999998</v>
      </c>
      <c r="F8" s="3">
        <v>4</v>
      </c>
      <c r="G8" s="171"/>
      <c r="H8" s="3">
        <v>4320</v>
      </c>
      <c r="I8" s="171"/>
      <c r="J8" s="5"/>
      <c r="K8" s="140"/>
      <c r="L8" s="141"/>
      <c r="M8" s="140"/>
      <c r="N8" s="141"/>
      <c r="O8" s="74">
        <v>3</v>
      </c>
      <c r="P8" s="74">
        <v>95</v>
      </c>
      <c r="Q8" s="74">
        <v>67</v>
      </c>
      <c r="R8" s="74">
        <v>5</v>
      </c>
      <c r="S8" s="74">
        <v>4</v>
      </c>
      <c r="T8" s="74">
        <f t="shared" si="0"/>
        <v>45.666666666666664</v>
      </c>
      <c r="U8" s="75"/>
    </row>
    <row r="9" spans="1:34" ht="15.75" thickBo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O9" s="74">
        <v>4</v>
      </c>
      <c r="P9" s="74">
        <v>140</v>
      </c>
      <c r="Q9" s="94">
        <v>85</v>
      </c>
      <c r="R9" s="94">
        <v>8</v>
      </c>
      <c r="S9" s="94">
        <v>3</v>
      </c>
      <c r="T9" s="74">
        <f t="shared" si="0"/>
        <v>69.666666666666671</v>
      </c>
    </row>
    <row r="10" spans="1:34" ht="15.75" customHeight="1" x14ac:dyDescent="0.25">
      <c r="A10" s="142" t="s">
        <v>100</v>
      </c>
      <c r="B10" s="144" t="s">
        <v>129</v>
      </c>
      <c r="C10" s="144"/>
      <c r="D10" s="144"/>
      <c r="E10" s="144"/>
      <c r="F10" s="20" t="s">
        <v>27</v>
      </c>
      <c r="G10" s="20" t="s">
        <v>28</v>
      </c>
      <c r="H10" s="20" t="s">
        <v>29</v>
      </c>
      <c r="I10" s="20" t="s">
        <v>30</v>
      </c>
    </row>
    <row r="11" spans="1:34" ht="15.75" customHeight="1" thickBot="1" x14ac:dyDescent="0.3">
      <c r="A11" s="143"/>
      <c r="B11" s="145"/>
      <c r="C11" s="145"/>
      <c r="D11" s="145"/>
      <c r="E11" s="145"/>
      <c r="F11" s="20">
        <v>91</v>
      </c>
      <c r="G11" s="26">
        <v>91</v>
      </c>
      <c r="H11" s="26">
        <v>91</v>
      </c>
      <c r="I11" s="26">
        <v>91</v>
      </c>
    </row>
    <row r="12" spans="1:34" ht="15.75" customHeight="1" thickBot="1" x14ac:dyDescent="0.3">
      <c r="A12" s="143"/>
      <c r="B12" s="145"/>
      <c r="C12" s="145"/>
      <c r="D12" s="145"/>
      <c r="E12" s="145"/>
      <c r="F12" s="7"/>
      <c r="G12" s="146" t="s">
        <v>27</v>
      </c>
      <c r="H12" s="147"/>
      <c r="I12" s="147"/>
      <c r="J12" s="147"/>
      <c r="K12" s="148"/>
      <c r="L12" s="149" t="s">
        <v>28</v>
      </c>
      <c r="M12" s="150"/>
      <c r="N12" s="150"/>
      <c r="O12" s="150"/>
      <c r="P12" s="151"/>
      <c r="Q12" s="152" t="s">
        <v>29</v>
      </c>
      <c r="R12" s="153"/>
      <c r="S12" s="153"/>
      <c r="T12" s="153"/>
      <c r="U12" s="154"/>
      <c r="V12" s="155" t="s">
        <v>30</v>
      </c>
      <c r="W12" s="156"/>
      <c r="X12" s="156"/>
      <c r="Y12" s="156"/>
      <c r="Z12" s="157"/>
      <c r="AA12" s="158" t="s">
        <v>42</v>
      </c>
      <c r="AB12" s="159"/>
      <c r="AC12" s="160" t="s">
        <v>44</v>
      </c>
      <c r="AD12" s="162" t="s">
        <v>47</v>
      </c>
      <c r="AE12" s="163"/>
      <c r="AF12" s="163"/>
      <c r="AG12" s="164"/>
      <c r="AH12" s="138" t="s">
        <v>62</v>
      </c>
    </row>
    <row r="13" spans="1:34" ht="36.75" x14ac:dyDescent="0.25">
      <c r="A13" s="21" t="s">
        <v>32</v>
      </c>
      <c r="B13" s="22" t="s">
        <v>37</v>
      </c>
      <c r="C13" s="23" t="s">
        <v>33</v>
      </c>
      <c r="D13" s="22" t="s">
        <v>38</v>
      </c>
      <c r="E13" s="22" t="s">
        <v>34</v>
      </c>
      <c r="F13" s="25" t="s">
        <v>35</v>
      </c>
      <c r="G13" s="27" t="s">
        <v>39</v>
      </c>
      <c r="H13" s="10" t="s">
        <v>40</v>
      </c>
      <c r="I13" s="10" t="s">
        <v>45</v>
      </c>
      <c r="J13" s="10" t="s">
        <v>46</v>
      </c>
      <c r="K13" s="28" t="s">
        <v>41</v>
      </c>
      <c r="L13" s="30" t="s">
        <v>39</v>
      </c>
      <c r="M13" s="13" t="s">
        <v>40</v>
      </c>
      <c r="N13" s="13" t="s">
        <v>45</v>
      </c>
      <c r="O13" s="13" t="s">
        <v>46</v>
      </c>
      <c r="P13" s="31" t="s">
        <v>41</v>
      </c>
      <c r="Q13" s="33" t="s">
        <v>39</v>
      </c>
      <c r="R13" s="12" t="s">
        <v>40</v>
      </c>
      <c r="S13" s="12" t="s">
        <v>45</v>
      </c>
      <c r="T13" s="12" t="s">
        <v>46</v>
      </c>
      <c r="U13" s="34" t="s">
        <v>41</v>
      </c>
      <c r="V13" s="36" t="s">
        <v>39</v>
      </c>
      <c r="W13" s="11" t="s">
        <v>40</v>
      </c>
      <c r="X13" s="11" t="s">
        <v>45</v>
      </c>
      <c r="Y13" s="11" t="s">
        <v>46</v>
      </c>
      <c r="Z13" s="37" t="s">
        <v>41</v>
      </c>
      <c r="AA13" s="39" t="s">
        <v>41</v>
      </c>
      <c r="AB13" s="40" t="s">
        <v>43</v>
      </c>
      <c r="AC13" s="161"/>
      <c r="AD13" s="43" t="s">
        <v>27</v>
      </c>
      <c r="AE13" s="1" t="s">
        <v>28</v>
      </c>
      <c r="AF13" s="1" t="s">
        <v>29</v>
      </c>
      <c r="AG13" s="1" t="s">
        <v>30</v>
      </c>
      <c r="AH13" s="139"/>
    </row>
    <row r="14" spans="1:34" x14ac:dyDescent="0.25">
      <c r="A14" s="24">
        <v>3</v>
      </c>
      <c r="B14" s="9">
        <v>5</v>
      </c>
      <c r="C14" s="9">
        <v>500</v>
      </c>
      <c r="D14" s="9">
        <v>4</v>
      </c>
      <c r="E14" s="48">
        <f>B14*C14/60+D14</f>
        <v>45.666666666666664</v>
      </c>
      <c r="F14" s="14">
        <v>95</v>
      </c>
      <c r="G14" s="49">
        <f>B$5*(1-AD14*C$5)</f>
        <v>0</v>
      </c>
      <c r="H14" s="50">
        <f>G14+E14</f>
        <v>45.666666666666664</v>
      </c>
      <c r="I14" s="15">
        <f>(H14/D$5)^E$5</f>
        <v>5.5463587496332782E-2</v>
      </c>
      <c r="J14" s="15">
        <f>(G14/D$5)^E$5</f>
        <v>0</v>
      </c>
      <c r="K14" s="29">
        <f>1-EXP(J14-I14)</f>
        <v>5.3953529036131931E-2</v>
      </c>
      <c r="L14" s="51">
        <f>B$6*(1-AE14*C$6)</f>
        <v>0</v>
      </c>
      <c r="M14" s="52">
        <f>L14+E14</f>
        <v>45.666666666666664</v>
      </c>
      <c r="N14" s="17">
        <f>(M14/D$6)^E$6</f>
        <v>3.9715434673642101E-2</v>
      </c>
      <c r="O14" s="17">
        <f>(L14/D$6)^E$6</f>
        <v>0</v>
      </c>
      <c r="P14" s="32">
        <f>1-EXP(O14-N14)</f>
        <v>3.8937114582545562E-2</v>
      </c>
      <c r="Q14" s="53">
        <f>B$7*(1-AF14*C$7)</f>
        <v>0</v>
      </c>
      <c r="R14" s="54">
        <f>Q14+E14</f>
        <v>45.666666666666664</v>
      </c>
      <c r="S14" s="16">
        <f>(R14/D$7)^E$7</f>
        <v>6.2425173515745024E-2</v>
      </c>
      <c r="T14" s="16">
        <f>(Q14/D$7)^E$7</f>
        <v>0</v>
      </c>
      <c r="U14" s="35">
        <f>1-EXP(T14-S14)</f>
        <v>6.0516641579816954E-2</v>
      </c>
      <c r="V14" s="55">
        <f>B$8*(1-AG14*C$8)</f>
        <v>0</v>
      </c>
      <c r="W14" s="56">
        <f>V14+E14</f>
        <v>45.666666666666664</v>
      </c>
      <c r="X14" s="18">
        <f>(W14/D$8)^E$8</f>
        <v>3.0803709406480337E-3</v>
      </c>
      <c r="Y14" s="18">
        <f>(V14/D$8)^E$8</f>
        <v>0</v>
      </c>
      <c r="Z14" s="38">
        <f>1-EXP(Y14-X14)</f>
        <v>3.0756314657778283E-3</v>
      </c>
      <c r="AA14" s="41">
        <f>K14*P14*U14*Z14</f>
        <v>3.9101438569080559E-7</v>
      </c>
      <c r="AB14" s="42">
        <f>1-AA14</f>
        <v>0.99999960898561435</v>
      </c>
      <c r="AC14" s="47">
        <f>(AD14*F$5+AE14*F$6+AF14*F$7+AG14*F$8)+E14</f>
        <v>45.666666666666664</v>
      </c>
      <c r="AD14" s="43">
        <v>0</v>
      </c>
      <c r="AE14" s="1">
        <v>0</v>
      </c>
      <c r="AF14" s="1">
        <v>0</v>
      </c>
      <c r="AG14" s="1">
        <v>0</v>
      </c>
      <c r="AH14" s="44">
        <v>67</v>
      </c>
    </row>
    <row r="15" spans="1:34" x14ac:dyDescent="0.25">
      <c r="A15" s="24">
        <v>1</v>
      </c>
      <c r="B15" s="9">
        <v>6</v>
      </c>
      <c r="C15" s="9">
        <v>500</v>
      </c>
      <c r="D15" s="9">
        <v>5</v>
      </c>
      <c r="E15" s="9">
        <f t="shared" ref="E15:E17" si="1">B15*C15/60+D15</f>
        <v>55</v>
      </c>
      <c r="F15" s="14">
        <v>106</v>
      </c>
      <c r="G15" s="49">
        <f>H14*(1-AD15*C$5)</f>
        <v>45.666666666666664</v>
      </c>
      <c r="H15" s="50">
        <f>G15+E15</f>
        <v>100.66666666666666</v>
      </c>
      <c r="I15" s="15">
        <f>(H15/D$5)^E$5</f>
        <v>0.21771752434165836</v>
      </c>
      <c r="J15" s="15">
        <f>(G15/D$5)^E$5</f>
        <v>5.5463587496332782E-2</v>
      </c>
      <c r="K15" s="29">
        <f>1-EXP(J15-I15)</f>
        <v>0.14977472639881173</v>
      </c>
      <c r="L15" s="51">
        <f>M14*(1-AE15*C$6)</f>
        <v>45.666666666666664</v>
      </c>
      <c r="M15" s="52">
        <f>L15+E15</f>
        <v>100.66666666666666</v>
      </c>
      <c r="N15" s="17">
        <f>(M15/D$6)^E$6</f>
        <v>0.17552448466860393</v>
      </c>
      <c r="O15" s="17">
        <f>(L15/D$6)^E$6</f>
        <v>3.9715434673642101E-2</v>
      </c>
      <c r="P15" s="32">
        <f>1-EXP(O15-N15)</f>
        <v>0.12699068229244426</v>
      </c>
      <c r="Q15" s="53">
        <f>R14*(1-AF15*C$7)</f>
        <v>45.666666666666664</v>
      </c>
      <c r="R15" s="54">
        <f>Q15+E15</f>
        <v>100.66666666666666</v>
      </c>
      <c r="S15" s="16">
        <f>(R15/D$7)^E$7</f>
        <v>0.42613347475170693</v>
      </c>
      <c r="T15" s="16">
        <f>(Q15/D$7)^E$7</f>
        <v>6.2425173515745024E-2</v>
      </c>
      <c r="U15" s="35">
        <f>1-EXP(T15-S15)</f>
        <v>0.30490607678805748</v>
      </c>
      <c r="V15" s="55">
        <f>W14*(1-AG15*C$8)</f>
        <v>45.666666666666664</v>
      </c>
      <c r="W15" s="56">
        <f>V15+E15</f>
        <v>100.66666666666666</v>
      </c>
      <c r="X15" s="18">
        <f>(W15/D$8)^E$8</f>
        <v>2.275713304339216E-2</v>
      </c>
      <c r="Y15" s="18">
        <f>(V15/D$8)^E$8</f>
        <v>3.0803709406480337E-3</v>
      </c>
      <c r="Z15" s="38">
        <f>1-EXP(Y15-X15)</f>
        <v>1.9484438122753578E-2</v>
      </c>
      <c r="AA15" s="41">
        <f>K15*P15*U15*Z15</f>
        <v>1.1299633510053277E-4</v>
      </c>
      <c r="AB15" s="42">
        <f>1-AA15</f>
        <v>0.99988700366489947</v>
      </c>
      <c r="AC15" s="47">
        <f>AF15*F$7+E15+AC14</f>
        <v>100.66666666666666</v>
      </c>
      <c r="AD15" s="43">
        <v>0</v>
      </c>
      <c r="AE15" s="1">
        <v>0</v>
      </c>
      <c r="AF15" s="1">
        <v>0</v>
      </c>
      <c r="AG15" s="1">
        <v>0</v>
      </c>
      <c r="AH15" s="44">
        <v>110</v>
      </c>
    </row>
    <row r="16" spans="1:34" x14ac:dyDescent="0.25">
      <c r="A16" s="57">
        <v>2</v>
      </c>
      <c r="B16" s="58">
        <v>9</v>
      </c>
      <c r="C16" s="58">
        <v>500</v>
      </c>
      <c r="D16" s="58">
        <v>2</v>
      </c>
      <c r="E16" s="66">
        <f t="shared" si="1"/>
        <v>77</v>
      </c>
      <c r="F16" s="67">
        <v>76</v>
      </c>
      <c r="G16" s="68">
        <f>H15*(1-AD16*C$5)</f>
        <v>70.466666666666654</v>
      </c>
      <c r="H16" s="69">
        <f>G16+E16</f>
        <v>147.46666666666664</v>
      </c>
      <c r="I16" s="70">
        <f>(H16/D$5)^E$5</f>
        <v>0.42144560641664969</v>
      </c>
      <c r="J16" s="70">
        <f>(G16/D$5)^E$5</f>
        <v>0.11746622079432449</v>
      </c>
      <c r="K16" s="29">
        <f>1-EXP(J16-I16)</f>
        <v>0.26212392285005737</v>
      </c>
      <c r="L16" s="51">
        <f>M15*(1-AE16*C$6)</f>
        <v>70.466666666666654</v>
      </c>
      <c r="M16" s="52">
        <f>L16+E16</f>
        <v>147.46666666666664</v>
      </c>
      <c r="N16" s="17">
        <f>(M16/D$6)^E$6</f>
        <v>0.35979661759585591</v>
      </c>
      <c r="O16" s="17">
        <f>(L16/D$6)^E$6</f>
        <v>8.9768097666615101E-2</v>
      </c>
      <c r="P16" s="32">
        <f>1-EXP(O16-N16)</f>
        <v>0.23664227688185091</v>
      </c>
      <c r="Q16" s="53">
        <f>R15*(1-AF16*C$7)</f>
        <v>70.466666666666654</v>
      </c>
      <c r="R16" s="54">
        <f>Q16+E16</f>
        <v>147.46666666666664</v>
      </c>
      <c r="S16" s="16">
        <f>(R16/D$7)^E$7</f>
        <v>1.0776048006073178</v>
      </c>
      <c r="T16" s="16">
        <f>(Q16/D$7)^E$7</f>
        <v>0.17911579648738157</v>
      </c>
      <c r="U16" s="35">
        <f>1-EXP(T16-S16)</f>
        <v>0.59281555082339077</v>
      </c>
      <c r="V16" s="55">
        <f>W15*(1-AG16*C$8)</f>
        <v>70.466666666666654</v>
      </c>
      <c r="W16" s="56">
        <f>V16+E16</f>
        <v>147.46666666666664</v>
      </c>
      <c r="X16" s="18">
        <f>(W16/D$8)^E$8</f>
        <v>5.9787753062133631E-2</v>
      </c>
      <c r="Y16" s="18">
        <f>(V16/D$8)^E$8</f>
        <v>9.230295179589924E-3</v>
      </c>
      <c r="Z16" s="38">
        <f>1-EXP(Y16-X16)</f>
        <v>4.9300698065851356E-2</v>
      </c>
      <c r="AA16" s="41">
        <f>K16*P16*U16*Z16</f>
        <v>1.8128908222401145E-3</v>
      </c>
      <c r="AB16" s="42">
        <f>1-AA16</f>
        <v>0.99818710917775988</v>
      </c>
      <c r="AC16" s="47">
        <f>(AF16*F$7)+E16+AC15</f>
        <v>185.66666666666666</v>
      </c>
      <c r="AD16" s="77">
        <v>1</v>
      </c>
      <c r="AE16" s="78">
        <v>1</v>
      </c>
      <c r="AF16" s="78">
        <v>1</v>
      </c>
      <c r="AG16" s="78">
        <v>1</v>
      </c>
      <c r="AH16" s="79">
        <v>40</v>
      </c>
    </row>
    <row r="17" spans="1:34" ht="15.75" thickBot="1" x14ac:dyDescent="0.3">
      <c r="A17" s="76">
        <v>4</v>
      </c>
      <c r="B17" s="58">
        <v>8</v>
      </c>
      <c r="C17" s="58">
        <v>500</v>
      </c>
      <c r="D17" s="58">
        <v>3</v>
      </c>
      <c r="E17" s="66">
        <f t="shared" si="1"/>
        <v>69.666666666666671</v>
      </c>
      <c r="F17" s="67">
        <v>140</v>
      </c>
      <c r="G17" s="68">
        <f>H16*(1-AD17*C$5)</f>
        <v>103.22666666666665</v>
      </c>
      <c r="H17" s="69">
        <f>G17+E17</f>
        <v>172.89333333333332</v>
      </c>
      <c r="I17" s="70">
        <f>(H17/D$5)^E$5</f>
        <v>0.55495467561038181</v>
      </c>
      <c r="J17" s="70">
        <f>(G17/D$5)^E$5</f>
        <v>0.22738464809313327</v>
      </c>
      <c r="K17" s="29">
        <f>1-EXP(J17-I17)</f>
        <v>0.27932717742005098</v>
      </c>
      <c r="L17" s="51">
        <f>M16*(1-AE17*C$6)</f>
        <v>103.22666666666665</v>
      </c>
      <c r="M17" s="52">
        <f>L17+E17</f>
        <v>172.89333333333332</v>
      </c>
      <c r="N17" s="17">
        <f>(M17/D$6)^E$6</f>
        <v>0.48521667557272297</v>
      </c>
      <c r="O17" s="17">
        <f>(L17/D$6)^E$6</f>
        <v>0.18400998566919444</v>
      </c>
      <c r="P17" s="32">
        <f>1-EXP(O17-N17)</f>
        <v>0.26007517804950775</v>
      </c>
      <c r="Q17" s="53">
        <f>R16*(1-AF17*C$7)</f>
        <v>103.22666666666665</v>
      </c>
      <c r="R17" s="54">
        <f>Q17+E17</f>
        <v>172.89333333333332</v>
      </c>
      <c r="S17" s="16">
        <f>(R17/D$7)^E$7</f>
        <v>1.5861146273855486</v>
      </c>
      <c r="T17" s="16">
        <f>(Q17/D$7)^E$7</f>
        <v>0.45294738291064662</v>
      </c>
      <c r="U17" s="35">
        <f>1-EXP(T17-S17)</f>
        <v>0.67798825033960464</v>
      </c>
      <c r="V17" s="55">
        <f>W16*(1-AG17*C$8)</f>
        <v>103.22666666666665</v>
      </c>
      <c r="W17" s="56">
        <f>V17+E17</f>
        <v>172.89333333333332</v>
      </c>
      <c r="X17" s="18">
        <f>(W17/D$8)^E$8</f>
        <v>8.9411982268391046E-2</v>
      </c>
      <c r="Y17" s="18">
        <f>(V17/D$8)^E$8</f>
        <v>2.4249917941582027E-2</v>
      </c>
      <c r="Z17" s="38">
        <f>1-EXP(Y17-X17)</f>
        <v>6.3084389524921902E-2</v>
      </c>
      <c r="AA17" s="41">
        <f>K17*P17*U17*Z17</f>
        <v>3.1071067152254818E-3</v>
      </c>
      <c r="AB17" s="42">
        <f>1-AA17</f>
        <v>0.99689289328477448</v>
      </c>
      <c r="AC17" s="47">
        <f>(AF17*F$7)+E17+AC16</f>
        <v>263.33333333333331</v>
      </c>
      <c r="AD17" s="80">
        <v>1</v>
      </c>
      <c r="AE17" s="45">
        <v>1</v>
      </c>
      <c r="AF17" s="81">
        <v>1</v>
      </c>
      <c r="AG17" s="45">
        <v>1</v>
      </c>
      <c r="AH17" s="82">
        <v>85</v>
      </c>
    </row>
    <row r="18" spans="1:34" ht="18.75" x14ac:dyDescent="0.3">
      <c r="A18" s="132" t="s">
        <v>53</v>
      </c>
      <c r="B18" s="132"/>
      <c r="C18" s="132"/>
      <c r="D18" s="132"/>
      <c r="E18" s="132"/>
      <c r="F18" s="132"/>
      <c r="G18" s="132"/>
      <c r="H18" s="132"/>
      <c r="I18" s="132"/>
      <c r="J18" s="132"/>
      <c r="AG18" s="46"/>
    </row>
    <row r="19" spans="1:34" ht="15.75" x14ac:dyDescent="0.25">
      <c r="A19" s="19" t="s">
        <v>54</v>
      </c>
      <c r="B19" s="60" t="s">
        <v>49</v>
      </c>
      <c r="C19" s="61" t="s">
        <v>50</v>
      </c>
      <c r="D19" s="19" t="s">
        <v>58</v>
      </c>
      <c r="E19" s="60" t="s">
        <v>57</v>
      </c>
      <c r="F19" s="61" t="s">
        <v>50</v>
      </c>
      <c r="G19" s="19" t="s">
        <v>48</v>
      </c>
      <c r="H19" s="60" t="s">
        <v>61</v>
      </c>
      <c r="I19" s="61" t="s">
        <v>50</v>
      </c>
      <c r="J19" s="19" t="s">
        <v>82</v>
      </c>
      <c r="K19" s="83" t="s">
        <v>84</v>
      </c>
      <c r="L19" s="61" t="s">
        <v>50</v>
      </c>
      <c r="M19" s="61" t="s">
        <v>85</v>
      </c>
      <c r="O19" s="174" t="s">
        <v>64</v>
      </c>
      <c r="P19" s="174"/>
      <c r="Q19" s="175" t="s">
        <v>109</v>
      </c>
      <c r="R19" s="175"/>
    </row>
    <row r="20" spans="1:34" ht="24.75" x14ac:dyDescent="0.25">
      <c r="A20" s="61" t="s">
        <v>51</v>
      </c>
      <c r="B20" s="1">
        <f>AA14</f>
        <v>3.9101438569080559E-7</v>
      </c>
      <c r="C20" s="59">
        <f>MAX(AC14+1*L7-F14,0)</f>
        <v>0</v>
      </c>
      <c r="D20" s="62" t="s">
        <v>55</v>
      </c>
      <c r="E20" s="1">
        <f>AA14*AA15</f>
        <v>4.4183192554647236E-11</v>
      </c>
      <c r="F20" s="1">
        <f>MAX(AC15+2*L7-F15,0)</f>
        <v>18.666666666666657</v>
      </c>
      <c r="G20" s="62" t="s">
        <v>59</v>
      </c>
      <c r="H20" s="1">
        <f>AA14*AA15*AA16</f>
        <v>8.0099304279587735E-14</v>
      </c>
      <c r="I20" s="1">
        <f>AC16+3*L7-F16</f>
        <v>145.66666666666666</v>
      </c>
      <c r="J20" s="62" t="s">
        <v>83</v>
      </c>
      <c r="K20" s="1">
        <f>AA14*AA15*AA16*AA17</f>
        <v>2.4887708621199623E-16</v>
      </c>
      <c r="L20" s="1">
        <f>AC17+4*L7-F17</f>
        <v>171.33333333333331</v>
      </c>
      <c r="M20" s="1">
        <f>B20*C20*AH14+E20*F20*AH15+H20*I20*AH16+K20*L20*AH17</f>
        <v>9.1193158471776869E-8</v>
      </c>
      <c r="O20" s="1" t="s">
        <v>27</v>
      </c>
      <c r="P20" s="1">
        <f>2*H5</f>
        <v>3640</v>
      </c>
      <c r="Q20" s="1">
        <f>(K14*(1-P14)*(1-U14)*(1-Z14))+(P14*(1-K14)*(1-U14)*(1-Z14))+(U14*(1-K14)*(1-P14)*(1-Z14))+(Z14*(1-K14)*(1-P14)*(1-U14))</f>
        <v>0.1405459062810282</v>
      </c>
      <c r="R20" s="1">
        <f>Q20*(L$7*(J$5*K$5+L$5)+I$5)</f>
        <v>4953.5404668748388</v>
      </c>
    </row>
    <row r="21" spans="1:34" ht="24.75" x14ac:dyDescent="0.25">
      <c r="A21" s="62" t="s">
        <v>52</v>
      </c>
      <c r="B21" s="1">
        <f>AB14</f>
        <v>0.99999960898561435</v>
      </c>
      <c r="C21" s="59">
        <f>MAX(AC14-F14,0)</f>
        <v>0</v>
      </c>
      <c r="D21" s="62" t="s">
        <v>56</v>
      </c>
      <c r="E21" s="1">
        <f>AA14*AB15+AA15*AB14</f>
        <v>1.1338726111983848E-4</v>
      </c>
      <c r="F21" s="1">
        <f>MAX(AC15+1*L7-F15,0)</f>
        <v>6.6666666666666572</v>
      </c>
      <c r="G21" s="62" t="s">
        <v>60</v>
      </c>
      <c r="H21" s="1">
        <f>AA14*AA15*AB16+AA15*AA16*AB14+AA14*AA16*AB15</f>
        <v>2.0560282813634891E-7</v>
      </c>
      <c r="I21" s="1">
        <f>AC16+2*L7-F16</f>
        <v>133.66666666666666</v>
      </c>
      <c r="J21" s="62" t="s">
        <v>59</v>
      </c>
      <c r="K21">
        <f>AB14*AA15*AA16*AA17+AB15*AA14*AA16*AA17*+AB16*AA14*AA15*AA17+AB17*AA14*AA15*AA16</f>
        <v>6.3657047073463836E-10</v>
      </c>
      <c r="L21" s="1">
        <f>AC17+3*L7-F17</f>
        <v>159.33333333333331</v>
      </c>
      <c r="M21" s="1">
        <f>B21*C21*AH14+E21*F21*AH15+H21*I21*AH16+K21*L21*AH17</f>
        <v>8.4258569228392421E-2</v>
      </c>
      <c r="O21" s="1" t="s">
        <v>28</v>
      </c>
      <c r="P21" s="1">
        <f>2*H6</f>
        <v>5440</v>
      </c>
      <c r="Q21" s="1">
        <f t="shared" ref="Q21:Q23" si="2">(K15*(1-P15)*(1-U15)*(1-Z15))+(P15*(1-K15)*(1-U15)*(1-Z15))+(U15*(1-K15)*(1-P15)*(1-Z15))+(Z15*(1-K15)*(1-P15)*(1-U15))</f>
        <v>0.39466439887986882</v>
      </c>
      <c r="R21" s="1">
        <f t="shared" ref="R21:R23" si="3">Q21*(L$7*(J$5*K$5+L$5)+I$5)</f>
        <v>13909.946738520977</v>
      </c>
    </row>
    <row r="22" spans="1:34" ht="24.75" x14ac:dyDescent="0.25">
      <c r="A22" s="1"/>
      <c r="B22" s="1"/>
      <c r="C22" s="1"/>
      <c r="D22" s="62" t="s">
        <v>52</v>
      </c>
      <c r="E22" s="1">
        <f>AB14*AB15</f>
        <v>0.99988661269469703</v>
      </c>
      <c r="F22" s="59">
        <f>MAX(AC15-F15,0)</f>
        <v>0</v>
      </c>
      <c r="G22" s="62" t="s">
        <v>56</v>
      </c>
      <c r="H22" s="1">
        <f>AA14*AB15*AB16+AA15*AB14*AB16*+AA16*AB14*AB15</f>
        <v>5.9471679910985621E-7</v>
      </c>
      <c r="I22" s="1">
        <f>AC16+1*L7-F16</f>
        <v>121.66666666666666</v>
      </c>
      <c r="J22" s="62" t="s">
        <v>60</v>
      </c>
      <c r="K22" s="1">
        <f>AA14*AA15*AB16*AB17 + AA14*AA16*AB15*AB17 + AA14*AA17*AB15*AB16 + AA15*AA16*AB14*AB17 + AA15*AA17*AB14*AB16 + AA16*AA17*AB14*AB15</f>
        <v>6.1888381803689709E-6</v>
      </c>
      <c r="L22" s="1">
        <f>AC17+2*L7-F17</f>
        <v>147.33333333333331</v>
      </c>
      <c r="M22" s="1">
        <f>B22*C22*AH14+E22*F22*AH15+H22*I22*AH16+K22*L22*AH17</f>
        <v>8.0399171901155364E-2</v>
      </c>
      <c r="O22" s="1" t="s">
        <v>29</v>
      </c>
      <c r="P22" s="1">
        <f>2*(F7*(J5*K5+L5)+H7)</f>
        <v>28200</v>
      </c>
      <c r="Q22" s="1">
        <f t="shared" si="2"/>
        <v>0.47380927672133455</v>
      </c>
      <c r="R22" s="1">
        <f t="shared" si="3"/>
        <v>16699.407958043437</v>
      </c>
    </row>
    <row r="23" spans="1:34" ht="24.75" x14ac:dyDescent="0.25">
      <c r="A23" s="1"/>
      <c r="B23" s="1"/>
      <c r="C23" s="1"/>
      <c r="D23" s="1"/>
      <c r="E23" s="1"/>
      <c r="F23" s="1"/>
      <c r="G23" s="62" t="s">
        <v>52</v>
      </c>
      <c r="H23" s="1">
        <f>AB14*AB15*AB16</f>
        <v>0.998073927431262</v>
      </c>
      <c r="I23" s="63">
        <f>AC16-F16</f>
        <v>109.66666666666666</v>
      </c>
      <c r="J23" s="62" t="s">
        <v>56</v>
      </c>
      <c r="K23" s="1">
        <f>AA14*AB15*AB16*AB17+AA15*AB14*AB16*AB17+AA16*AB14*AB15*AB17+AA17*AB14*AB15*AB16</f>
        <v>5.0210052938607511E-3</v>
      </c>
      <c r="L23" s="1">
        <f>AC17+1*L7-F17</f>
        <v>135.33333333333331</v>
      </c>
      <c r="M23" s="1">
        <f>B23*C23*AH14+E23*F23*AH15+H23*I23*AH16+K23*L23*AH17</f>
        <v>4435.9759258955137</v>
      </c>
      <c r="O23" s="1" t="s">
        <v>30</v>
      </c>
      <c r="P23" s="1">
        <f>2*H8</f>
        <v>8640</v>
      </c>
      <c r="Q23" s="1">
        <f t="shared" si="2"/>
        <v>0.46846035195017749</v>
      </c>
      <c r="R23" s="1">
        <f t="shared" si="3"/>
        <v>16510.885104484005</v>
      </c>
    </row>
    <row r="24" spans="1:34" ht="30" x14ac:dyDescent="0.25">
      <c r="I24" s="84"/>
      <c r="J24" s="62" t="s">
        <v>52</v>
      </c>
      <c r="K24" s="85">
        <f>AB14*AB15*AB16*AB17</f>
        <v>0.99497280522904885</v>
      </c>
      <c r="L24" s="1">
        <f>AC17+0*L7-F17</f>
        <v>123.33333333333331</v>
      </c>
      <c r="M24" s="1">
        <f>B24*C24*AH14+E24*F24*AH15+H24*I24*AH16+K24*L24*AH17</f>
        <v>10430.63157481786</v>
      </c>
      <c r="O24" s="64" t="s">
        <v>65</v>
      </c>
      <c r="P24" s="65">
        <f>SUM(P20:P23)</f>
        <v>45920</v>
      </c>
      <c r="Q24" s="96" t="s">
        <v>108</v>
      </c>
      <c r="R24" s="97">
        <f>SUM(R20:R23)</f>
        <v>52073.780267923263</v>
      </c>
    </row>
    <row r="25" spans="1:34" x14ac:dyDescent="0.25">
      <c r="L25" s="176" t="s">
        <v>63</v>
      </c>
      <c r="M25" s="177">
        <f>SUM(M20:M24)</f>
        <v>14866.772158545697</v>
      </c>
    </row>
    <row r="26" spans="1:34" x14ac:dyDescent="0.25">
      <c r="L26" s="176"/>
      <c r="M26" s="177"/>
    </row>
    <row r="27" spans="1:34" x14ac:dyDescent="0.25">
      <c r="A27" s="178" t="s">
        <v>90</v>
      </c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</row>
    <row r="28" spans="1:34" ht="15.75" x14ac:dyDescent="0.25">
      <c r="A28" s="87" t="s">
        <v>76</v>
      </c>
      <c r="B28" s="62" t="s">
        <v>49</v>
      </c>
      <c r="C28" s="90" t="s">
        <v>102</v>
      </c>
      <c r="D28" s="62" t="s">
        <v>88</v>
      </c>
      <c r="E28" s="87" t="s">
        <v>77</v>
      </c>
      <c r="F28" s="62" t="s">
        <v>57</v>
      </c>
      <c r="G28" s="90" t="s">
        <v>78</v>
      </c>
      <c r="H28" s="62" t="s">
        <v>88</v>
      </c>
      <c r="I28" s="87" t="s">
        <v>75</v>
      </c>
      <c r="J28" s="62" t="s">
        <v>61</v>
      </c>
      <c r="K28" s="90" t="s">
        <v>87</v>
      </c>
      <c r="L28" s="62" t="s">
        <v>88</v>
      </c>
      <c r="M28" s="87" t="s">
        <v>86</v>
      </c>
      <c r="N28" s="62" t="s">
        <v>84</v>
      </c>
      <c r="O28" s="90" t="s">
        <v>103</v>
      </c>
      <c r="P28" s="62" t="s">
        <v>88</v>
      </c>
    </row>
    <row r="29" spans="1:34" ht="24.75" x14ac:dyDescent="0.25">
      <c r="A29" s="62" t="s">
        <v>51</v>
      </c>
      <c r="B29" s="86">
        <v>3.9101438569080559E-7</v>
      </c>
      <c r="C29" s="86">
        <f>AC14+1*L7</f>
        <v>57.666666666666664</v>
      </c>
      <c r="D29" s="86">
        <f>MAX(B29*1.5*((C29-F14)*500/2),0)</f>
        <v>0</v>
      </c>
      <c r="E29" s="62" t="s">
        <v>55</v>
      </c>
      <c r="F29" s="86">
        <v>4.4183192554647236E-11</v>
      </c>
      <c r="G29" s="86">
        <f>AC15+2*L7</f>
        <v>124.66666666666666</v>
      </c>
      <c r="H29" s="86">
        <f>F29*1.5*((G29-F15)*500/2+(G29-F16)*500)</f>
        <v>1.9219688761271546E-6</v>
      </c>
      <c r="I29" s="62" t="s">
        <v>59</v>
      </c>
      <c r="J29" s="86">
        <v>8.0099304279587735E-14</v>
      </c>
      <c r="K29" s="86">
        <f>AC16+3*L7</f>
        <v>221.66666666666666</v>
      </c>
      <c r="L29" s="86">
        <f>J29*1.5*((K29-G29)*500/2+(K29-F17)*500)</f>
        <v>7.8196945802947514E-9</v>
      </c>
      <c r="M29" s="62" t="s">
        <v>83</v>
      </c>
      <c r="N29" s="86">
        <v>2.4887708621199623E-16</v>
      </c>
      <c r="O29" s="86">
        <f>AC17+4*L7</f>
        <v>311.33333333333331</v>
      </c>
      <c r="P29" s="86">
        <f>N29*1.5*((O29-K29)*500/2)</f>
        <v>8.3684920238783725E-12</v>
      </c>
    </row>
    <row r="30" spans="1:34" ht="24.75" x14ac:dyDescent="0.25">
      <c r="A30" s="62" t="s">
        <v>52</v>
      </c>
      <c r="B30" s="86">
        <v>0.99999960898561435</v>
      </c>
      <c r="C30" s="88">
        <f>AC14</f>
        <v>45.666666666666664</v>
      </c>
      <c r="D30" s="86">
        <f>MAX(B30*1.5*((C30-F14)*500/2),0)</f>
        <v>0</v>
      </c>
      <c r="E30" s="62" t="s">
        <v>56</v>
      </c>
      <c r="F30" s="86">
        <v>1.1338726111983848E-4</v>
      </c>
      <c r="G30" s="86">
        <f>AC15+1*L7</f>
        <v>112.66666666666666</v>
      </c>
      <c r="H30" s="86">
        <f>F30*1.5*((G30-F15)*500/2+(G30-F16)*500)</f>
        <v>3.4016178335951532</v>
      </c>
      <c r="I30" s="62" t="s">
        <v>60</v>
      </c>
      <c r="J30" s="86">
        <v>2.0560282813634891E-7</v>
      </c>
      <c r="K30" s="86">
        <f>AC16+2*L7</f>
        <v>209.66666666666666</v>
      </c>
      <c r="L30" s="86">
        <f>J30*1.5*((K30-G30)*500/2+(K30-F17)*500)</f>
        <v>1.8221550643583922E-2</v>
      </c>
      <c r="M30" s="62" t="s">
        <v>59</v>
      </c>
      <c r="N30" s="86">
        <v>6.3657047073463836E-10</v>
      </c>
      <c r="O30" s="86">
        <f>AC17+3*L7</f>
        <v>299.33333333333331</v>
      </c>
      <c r="P30" s="86">
        <f>N30*1.5*((O30-K30)*500/2)</f>
        <v>2.1404682078452211E-5</v>
      </c>
    </row>
    <row r="31" spans="1:34" x14ac:dyDescent="0.25">
      <c r="A31" s="86"/>
      <c r="B31" s="86"/>
      <c r="C31" s="89" t="s">
        <v>89</v>
      </c>
      <c r="D31" s="89">
        <f>SUM(D29:D30)</f>
        <v>0</v>
      </c>
      <c r="E31" s="62" t="s">
        <v>52</v>
      </c>
      <c r="F31" s="86">
        <v>0.99988661269469703</v>
      </c>
      <c r="G31" s="86">
        <f>AC15+0*L7</f>
        <v>100.66666666666666</v>
      </c>
      <c r="H31" s="86">
        <f>F31*1.5*((G31-F16)*500)</f>
        <v>18497.902334851889</v>
      </c>
      <c r="I31" s="62" t="s">
        <v>56</v>
      </c>
      <c r="J31" s="86">
        <v>5.9471679910985621E-7</v>
      </c>
      <c r="K31" s="86">
        <f>AC16+1*L7</f>
        <v>197.66666666666666</v>
      </c>
      <c r="L31" s="86">
        <f>J31*1.5*((K31-G31)*500/2+(K31-F17)*500)</f>
        <v>4.7354325129122299E-2</v>
      </c>
      <c r="M31" s="62" t="s">
        <v>60</v>
      </c>
      <c r="N31" s="86">
        <v>6.1888381803689709E-6</v>
      </c>
      <c r="O31" s="86">
        <f>AC17+2*L7</f>
        <v>287.33333333333331</v>
      </c>
      <c r="P31" s="86">
        <f>N31*1.5*((O31-K31)*500/2)</f>
        <v>0.20809968381490659</v>
      </c>
    </row>
    <row r="32" spans="1:34" x14ac:dyDescent="0.25">
      <c r="A32" s="86"/>
      <c r="B32" s="86"/>
      <c r="C32" s="86"/>
      <c r="D32" s="86"/>
      <c r="E32" s="86"/>
      <c r="F32" s="86"/>
      <c r="G32" s="89" t="s">
        <v>79</v>
      </c>
      <c r="H32" s="89">
        <f>SUM(H29:H31)</f>
        <v>18501.303954607454</v>
      </c>
      <c r="I32" s="62" t="s">
        <v>52</v>
      </c>
      <c r="J32" s="86">
        <v>0.998073927431262</v>
      </c>
      <c r="K32" s="86">
        <f>AC16+0*L7</f>
        <v>185.66666666666666</v>
      </c>
      <c r="L32" s="86">
        <f>J32*1.5*((K32-G31)*500/2+(K32-F17)*500)</f>
        <v>65997.63845139218</v>
      </c>
      <c r="M32" s="62" t="s">
        <v>56</v>
      </c>
      <c r="N32" s="86">
        <v>5.0210052938607511E-3</v>
      </c>
      <c r="O32" s="86">
        <f>AC17+1*L7</f>
        <v>275.33333333333331</v>
      </c>
      <c r="P32" s="86">
        <f>N32*1.5*((O32-K32)*500/2)</f>
        <v>168.83130300606774</v>
      </c>
    </row>
    <row r="33" spans="1:22" ht="15" customHeight="1" x14ac:dyDescent="0.25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9" t="s">
        <v>79</v>
      </c>
      <c r="L33" s="89">
        <f>SUM(L29:L32)</f>
        <v>65997.704027275773</v>
      </c>
      <c r="M33" s="62" t="s">
        <v>52</v>
      </c>
      <c r="N33" s="86">
        <v>0.99497280522904885</v>
      </c>
      <c r="O33" s="86">
        <f>AC17+0*L7</f>
        <v>263.33333333333331</v>
      </c>
      <c r="P33" s="86">
        <f>N33*1.5*((O33-K32)*500/2)</f>
        <v>28978.582952296045</v>
      </c>
      <c r="Q33" s="179" t="s">
        <v>80</v>
      </c>
      <c r="R33" s="179"/>
      <c r="S33" s="180">
        <f>D31+H32+L33+P34</f>
        <v>113646.63035827385</v>
      </c>
      <c r="T33" s="180"/>
    </row>
    <row r="34" spans="1:22" ht="15" customHeight="1" x14ac:dyDescent="0.25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9" t="s">
        <v>79</v>
      </c>
      <c r="P34" s="89">
        <f>SUM(P29:P33)</f>
        <v>29147.622376390616</v>
      </c>
      <c r="Q34" s="179"/>
      <c r="R34" s="179"/>
      <c r="S34" s="180"/>
      <c r="T34" s="180"/>
    </row>
    <row r="35" spans="1:22" x14ac:dyDescent="0.25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</row>
    <row r="36" spans="1:22" x14ac:dyDescent="0.25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</row>
    <row r="37" spans="1:22" x14ac:dyDescent="0.25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</row>
    <row r="38" spans="1:22" ht="27.75" customHeight="1" thickBot="1" x14ac:dyDescent="0.3">
      <c r="O38" s="131" t="s">
        <v>81</v>
      </c>
      <c r="P38" s="131"/>
      <c r="Q38" s="131">
        <f>(R24+P24+M25+S33)/AC17</f>
        <v>860.15385867623854</v>
      </c>
      <c r="R38" s="131"/>
    </row>
    <row r="39" spans="1:22" x14ac:dyDescent="0.25">
      <c r="A39" s="181" t="s">
        <v>94</v>
      </c>
      <c r="B39" s="182"/>
    </row>
    <row r="40" spans="1:22" ht="15.75" thickBot="1" x14ac:dyDescent="0.3">
      <c r="A40" s="183"/>
      <c r="B40" s="184"/>
    </row>
    <row r="41" spans="1:22" ht="21" x14ac:dyDescent="0.35">
      <c r="A41" s="185" t="s">
        <v>14</v>
      </c>
      <c r="B41" s="18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O41" s="166" t="s">
        <v>72</v>
      </c>
      <c r="P41" s="166"/>
      <c r="Q41" s="166"/>
      <c r="R41" s="166"/>
      <c r="S41" s="166"/>
      <c r="T41" s="166"/>
      <c r="U41" s="166"/>
      <c r="V41" s="166"/>
    </row>
    <row r="42" spans="1:22" ht="36" x14ac:dyDescent="0.25">
      <c r="A42" s="4" t="s">
        <v>15</v>
      </c>
      <c r="B42" s="4" t="s">
        <v>16</v>
      </c>
      <c r="C42" s="4" t="s">
        <v>31</v>
      </c>
      <c r="D42" s="6" t="s">
        <v>17</v>
      </c>
      <c r="E42" s="6" t="s">
        <v>18</v>
      </c>
      <c r="F42" s="6" t="s">
        <v>19</v>
      </c>
      <c r="G42" s="6" t="s">
        <v>20</v>
      </c>
      <c r="H42" s="6" t="s">
        <v>21</v>
      </c>
      <c r="I42" s="6" t="s">
        <v>22</v>
      </c>
      <c r="J42" s="6" t="s">
        <v>23</v>
      </c>
      <c r="K42" s="6" t="s">
        <v>24</v>
      </c>
      <c r="L42" s="6" t="s">
        <v>25</v>
      </c>
      <c r="M42" s="6" t="s">
        <v>26</v>
      </c>
      <c r="N42" s="8"/>
      <c r="O42" s="167" t="s">
        <v>32</v>
      </c>
      <c r="P42" s="167" t="s">
        <v>35</v>
      </c>
      <c r="Q42" s="167" t="s">
        <v>66</v>
      </c>
      <c r="R42" s="99" t="s">
        <v>67</v>
      </c>
      <c r="S42" s="99" t="s">
        <v>68</v>
      </c>
      <c r="T42" s="167" t="s">
        <v>69</v>
      </c>
      <c r="U42" s="71" t="s">
        <v>33</v>
      </c>
      <c r="V42" s="99" t="s">
        <v>70</v>
      </c>
    </row>
    <row r="43" spans="1:22" x14ac:dyDescent="0.25">
      <c r="A43" s="3" t="s">
        <v>27</v>
      </c>
      <c r="B43" s="3">
        <v>0</v>
      </c>
      <c r="C43" s="3">
        <v>0.3</v>
      </c>
      <c r="D43" s="3">
        <v>243</v>
      </c>
      <c r="E43" s="3">
        <v>1.73</v>
      </c>
      <c r="F43" s="3">
        <v>5</v>
      </c>
      <c r="G43" s="169">
        <v>12</v>
      </c>
      <c r="H43" s="3">
        <v>1820</v>
      </c>
      <c r="I43" s="169">
        <v>19645</v>
      </c>
      <c r="J43" s="3">
        <v>20</v>
      </c>
      <c r="K43" s="3">
        <v>40</v>
      </c>
      <c r="L43" s="3">
        <v>500</v>
      </c>
      <c r="M43" s="3">
        <v>1000</v>
      </c>
      <c r="O43" s="168"/>
      <c r="P43" s="168"/>
      <c r="Q43" s="168"/>
      <c r="R43" s="72" t="s">
        <v>71</v>
      </c>
      <c r="S43" s="72" t="s">
        <v>71</v>
      </c>
      <c r="T43" s="168"/>
      <c r="U43" s="73">
        <v>500</v>
      </c>
      <c r="V43" s="3">
        <v>1.5</v>
      </c>
    </row>
    <row r="44" spans="1:22" x14ac:dyDescent="0.25">
      <c r="A44" s="3" t="s">
        <v>28</v>
      </c>
      <c r="B44" s="3">
        <v>0</v>
      </c>
      <c r="C44" s="3">
        <v>0.3</v>
      </c>
      <c r="D44" s="3">
        <v>254</v>
      </c>
      <c r="E44" s="3">
        <v>1.88</v>
      </c>
      <c r="F44" s="3">
        <v>3</v>
      </c>
      <c r="G44" s="170"/>
      <c r="H44" s="3">
        <v>2720</v>
      </c>
      <c r="I44" s="170"/>
      <c r="J44" s="5"/>
      <c r="K44" s="5"/>
      <c r="L44" s="5"/>
      <c r="M44" s="5"/>
      <c r="O44" s="74">
        <v>1</v>
      </c>
      <c r="P44" s="74">
        <v>106</v>
      </c>
      <c r="Q44" s="74">
        <v>110</v>
      </c>
      <c r="R44" s="74">
        <v>6</v>
      </c>
      <c r="S44" s="74">
        <v>5</v>
      </c>
      <c r="T44" s="74">
        <f>R44*$U$5/60+S44</f>
        <v>55</v>
      </c>
      <c r="U44" s="75"/>
    </row>
    <row r="45" spans="1:22" x14ac:dyDescent="0.25">
      <c r="A45" s="3" t="s">
        <v>29</v>
      </c>
      <c r="B45" s="3">
        <v>0</v>
      </c>
      <c r="C45" s="3">
        <v>0.3</v>
      </c>
      <c r="D45" s="3">
        <v>143</v>
      </c>
      <c r="E45" s="3">
        <v>2.4300000000000002</v>
      </c>
      <c r="F45" s="3">
        <v>8</v>
      </c>
      <c r="G45" s="170"/>
      <c r="H45" s="3">
        <v>3700</v>
      </c>
      <c r="I45" s="170"/>
      <c r="J45" s="5"/>
      <c r="K45" s="140" t="s">
        <v>73</v>
      </c>
      <c r="L45" s="141">
        <v>12</v>
      </c>
      <c r="M45" s="140" t="s">
        <v>74</v>
      </c>
      <c r="N45" s="141">
        <v>19645</v>
      </c>
      <c r="O45" s="74">
        <v>2</v>
      </c>
      <c r="P45" s="74">
        <v>76</v>
      </c>
      <c r="Q45" s="74">
        <v>40</v>
      </c>
      <c r="R45" s="74">
        <v>9</v>
      </c>
      <c r="S45" s="74">
        <v>2</v>
      </c>
      <c r="T45" s="74">
        <f t="shared" ref="T45:T47" si="4">R45*$U$5/60+S45</f>
        <v>77</v>
      </c>
      <c r="U45" s="75"/>
    </row>
    <row r="46" spans="1:22" x14ac:dyDescent="0.25">
      <c r="A46" s="3" t="s">
        <v>30</v>
      </c>
      <c r="B46" s="3">
        <v>0</v>
      </c>
      <c r="C46" s="3">
        <v>0.3</v>
      </c>
      <c r="D46" s="3">
        <v>449</v>
      </c>
      <c r="E46" s="3">
        <v>2.5299999999999998</v>
      </c>
      <c r="F46" s="3">
        <v>4</v>
      </c>
      <c r="G46" s="171"/>
      <c r="H46" s="3">
        <v>4320</v>
      </c>
      <c r="I46" s="171"/>
      <c r="J46" s="5"/>
      <c r="K46" s="140"/>
      <c r="L46" s="141"/>
      <c r="M46" s="140"/>
      <c r="N46" s="141"/>
      <c r="O46" s="74">
        <v>3</v>
      </c>
      <c r="P46" s="74">
        <v>95</v>
      </c>
      <c r="Q46" s="74">
        <v>67</v>
      </c>
      <c r="R46" s="74">
        <v>5</v>
      </c>
      <c r="S46" s="74">
        <v>4</v>
      </c>
      <c r="T46" s="74">
        <f t="shared" si="4"/>
        <v>45.666666666666664</v>
      </c>
      <c r="U46" s="75"/>
    </row>
    <row r="47" spans="1:22" ht="15.75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O47" s="74">
        <v>4</v>
      </c>
      <c r="P47" s="74">
        <v>140</v>
      </c>
      <c r="Q47" s="94">
        <v>85</v>
      </c>
      <c r="R47" s="94">
        <v>8</v>
      </c>
      <c r="S47" s="94">
        <v>3</v>
      </c>
      <c r="T47" s="74">
        <f t="shared" si="4"/>
        <v>69.666666666666671</v>
      </c>
    </row>
    <row r="48" spans="1:22" ht="15" customHeight="1" x14ac:dyDescent="0.25">
      <c r="A48" s="142" t="s">
        <v>100</v>
      </c>
      <c r="B48" s="144" t="s">
        <v>129</v>
      </c>
      <c r="C48" s="144"/>
      <c r="D48" s="144"/>
      <c r="E48" s="144"/>
      <c r="F48" s="20" t="s">
        <v>27</v>
      </c>
      <c r="G48" s="20" t="s">
        <v>28</v>
      </c>
      <c r="H48" s="20" t="s">
        <v>29</v>
      </c>
      <c r="I48" s="20" t="s">
        <v>30</v>
      </c>
    </row>
    <row r="49" spans="1:34" ht="15.75" customHeight="1" thickBot="1" x14ac:dyDescent="0.3">
      <c r="A49" s="143"/>
      <c r="B49" s="145"/>
      <c r="C49" s="145"/>
      <c r="D49" s="145"/>
      <c r="E49" s="145"/>
      <c r="F49" s="20">
        <v>91</v>
      </c>
      <c r="G49" s="26">
        <v>91</v>
      </c>
      <c r="H49" s="26">
        <v>91</v>
      </c>
      <c r="I49" s="26">
        <v>91</v>
      </c>
    </row>
    <row r="50" spans="1:34" ht="15.75" customHeight="1" thickBot="1" x14ac:dyDescent="0.3">
      <c r="A50" s="143"/>
      <c r="B50" s="145"/>
      <c r="C50" s="145"/>
      <c r="D50" s="145"/>
      <c r="E50" s="145"/>
      <c r="F50" s="7"/>
      <c r="G50" s="146" t="s">
        <v>27</v>
      </c>
      <c r="H50" s="147"/>
      <c r="I50" s="147"/>
      <c r="J50" s="147"/>
      <c r="K50" s="148"/>
      <c r="L50" s="149" t="s">
        <v>28</v>
      </c>
      <c r="M50" s="150"/>
      <c r="N50" s="150"/>
      <c r="O50" s="150"/>
      <c r="P50" s="151"/>
      <c r="Q50" s="152" t="s">
        <v>29</v>
      </c>
      <c r="R50" s="153"/>
      <c r="S50" s="153"/>
      <c r="T50" s="153"/>
      <c r="U50" s="154"/>
      <c r="V50" s="155" t="s">
        <v>30</v>
      </c>
      <c r="W50" s="156"/>
      <c r="X50" s="156"/>
      <c r="Y50" s="156"/>
      <c r="Z50" s="157"/>
      <c r="AA50" s="158" t="s">
        <v>42</v>
      </c>
      <c r="AB50" s="159"/>
      <c r="AC50" s="160" t="s">
        <v>44</v>
      </c>
      <c r="AD50" s="162" t="s">
        <v>47</v>
      </c>
      <c r="AE50" s="163"/>
      <c r="AF50" s="163"/>
      <c r="AG50" s="164"/>
      <c r="AH50" s="138" t="s">
        <v>62</v>
      </c>
    </row>
    <row r="51" spans="1:34" ht="36.75" x14ac:dyDescent="0.25">
      <c r="A51" s="21" t="s">
        <v>32</v>
      </c>
      <c r="B51" s="22" t="s">
        <v>37</v>
      </c>
      <c r="C51" s="23" t="s">
        <v>33</v>
      </c>
      <c r="D51" s="22" t="s">
        <v>38</v>
      </c>
      <c r="E51" s="22" t="s">
        <v>34</v>
      </c>
      <c r="F51" s="25" t="s">
        <v>35</v>
      </c>
      <c r="G51" s="27" t="s">
        <v>39</v>
      </c>
      <c r="H51" s="10" t="s">
        <v>40</v>
      </c>
      <c r="I51" s="10" t="s">
        <v>45</v>
      </c>
      <c r="J51" s="10" t="s">
        <v>46</v>
      </c>
      <c r="K51" s="28" t="s">
        <v>41</v>
      </c>
      <c r="L51" s="30" t="s">
        <v>39</v>
      </c>
      <c r="M51" s="13" t="s">
        <v>40</v>
      </c>
      <c r="N51" s="13" t="s">
        <v>45</v>
      </c>
      <c r="O51" s="13" t="s">
        <v>46</v>
      </c>
      <c r="P51" s="31" t="s">
        <v>41</v>
      </c>
      <c r="Q51" s="33" t="s">
        <v>39</v>
      </c>
      <c r="R51" s="12" t="s">
        <v>40</v>
      </c>
      <c r="S51" s="12" t="s">
        <v>45</v>
      </c>
      <c r="T51" s="12" t="s">
        <v>46</v>
      </c>
      <c r="U51" s="34" t="s">
        <v>41</v>
      </c>
      <c r="V51" s="36" t="s">
        <v>39</v>
      </c>
      <c r="W51" s="11" t="s">
        <v>40</v>
      </c>
      <c r="X51" s="11" t="s">
        <v>45</v>
      </c>
      <c r="Y51" s="11" t="s">
        <v>46</v>
      </c>
      <c r="Z51" s="37" t="s">
        <v>41</v>
      </c>
      <c r="AA51" s="39" t="s">
        <v>41</v>
      </c>
      <c r="AB51" s="40" t="s">
        <v>43</v>
      </c>
      <c r="AC51" s="161"/>
      <c r="AD51" s="43" t="s">
        <v>27</v>
      </c>
      <c r="AE51" s="1" t="s">
        <v>28</v>
      </c>
      <c r="AF51" s="1" t="s">
        <v>29</v>
      </c>
      <c r="AG51" s="1" t="s">
        <v>30</v>
      </c>
      <c r="AH51" s="139"/>
    </row>
    <row r="52" spans="1:34" x14ac:dyDescent="0.25">
      <c r="A52" s="24">
        <v>3</v>
      </c>
      <c r="B52" s="9">
        <v>5</v>
      </c>
      <c r="C52" s="9">
        <v>500</v>
      </c>
      <c r="D52" s="9">
        <v>4</v>
      </c>
      <c r="E52" s="48">
        <f>B52*C52/60+D52</f>
        <v>45.666666666666664</v>
      </c>
      <c r="F52" s="14">
        <v>95</v>
      </c>
      <c r="G52" s="49">
        <f>B$5*(1-AD52*C$5)</f>
        <v>0</v>
      </c>
      <c r="H52" s="50">
        <f>G52+E52</f>
        <v>45.666666666666664</v>
      </c>
      <c r="I52" s="15">
        <f>(H52/D$5)^E$5</f>
        <v>5.5463587496332782E-2</v>
      </c>
      <c r="J52" s="15">
        <f>(G52/D$5)^E$5</f>
        <v>0</v>
      </c>
      <c r="K52" s="29">
        <f>1-EXP(J52-I52)</f>
        <v>5.3953529036131931E-2</v>
      </c>
      <c r="L52" s="51">
        <f>B$6*(1-AE52*C$6)</f>
        <v>0</v>
      </c>
      <c r="M52" s="52">
        <f>L52+E52</f>
        <v>45.666666666666664</v>
      </c>
      <c r="N52" s="17">
        <f>(M52/D$6)^E$6</f>
        <v>3.9715434673642101E-2</v>
      </c>
      <c r="O52" s="17">
        <f>(L52/D$6)^E$6</f>
        <v>0</v>
      </c>
      <c r="P52" s="32">
        <f>1-EXP(O52-N52)</f>
        <v>3.8937114582545562E-2</v>
      </c>
      <c r="Q52" s="53">
        <f>B$7*(1-AF52*C$7)</f>
        <v>0</v>
      </c>
      <c r="R52" s="54">
        <f>Q52+E52</f>
        <v>45.666666666666664</v>
      </c>
      <c r="S52" s="16">
        <f>(R52/D$7)^E$7</f>
        <v>6.2425173515745024E-2</v>
      </c>
      <c r="T52" s="16">
        <f>(Q52/D$7)^E$7</f>
        <v>0</v>
      </c>
      <c r="U52" s="35">
        <f>1-EXP(T52-S52)</f>
        <v>6.0516641579816954E-2</v>
      </c>
      <c r="V52" s="55">
        <f>B$8*(1-AG52*C$8)</f>
        <v>0</v>
      </c>
      <c r="W52" s="56">
        <f>V52+E52</f>
        <v>45.666666666666664</v>
      </c>
      <c r="X52" s="18">
        <f>(W52/D$8)^E$8</f>
        <v>3.0803709406480337E-3</v>
      </c>
      <c r="Y52" s="18">
        <f>(V52/D$8)^E$8</f>
        <v>0</v>
      </c>
      <c r="Z52" s="38">
        <f>1-EXP(Y52-X52)</f>
        <v>3.0756314657778283E-3</v>
      </c>
      <c r="AA52" s="41">
        <f>K52*P52*U52*Z52</f>
        <v>3.9101438569080559E-7</v>
      </c>
      <c r="AB52" s="42">
        <f>1-AA52</f>
        <v>0.99999960898561435</v>
      </c>
      <c r="AC52" s="47">
        <f>(AD52*F$5+AE52*F$6+AF52*F$7+AG52*F$8)+E52</f>
        <v>45.666666666666664</v>
      </c>
      <c r="AD52" s="43">
        <v>0</v>
      </c>
      <c r="AE52" s="1">
        <v>0</v>
      </c>
      <c r="AF52" s="1">
        <v>0</v>
      </c>
      <c r="AG52" s="1">
        <v>0</v>
      </c>
      <c r="AH52" s="44">
        <v>67</v>
      </c>
    </row>
    <row r="53" spans="1:34" x14ac:dyDescent="0.25">
      <c r="A53" s="24">
        <v>1</v>
      </c>
      <c r="B53" s="9">
        <v>6</v>
      </c>
      <c r="C53" s="9">
        <v>500</v>
      </c>
      <c r="D53" s="9">
        <v>5</v>
      </c>
      <c r="E53" s="9">
        <f t="shared" ref="E53:E55" si="5">B53*C53/60+D53</f>
        <v>55</v>
      </c>
      <c r="F53" s="14">
        <v>106</v>
      </c>
      <c r="G53" s="49">
        <f>H52*(1-AD53*C$5)</f>
        <v>45.666666666666664</v>
      </c>
      <c r="H53" s="50">
        <f>G53+E53</f>
        <v>100.66666666666666</v>
      </c>
      <c r="I53" s="15">
        <f>(H53/D$5)^E$5</f>
        <v>0.21771752434165836</v>
      </c>
      <c r="J53" s="15">
        <f>(G53/D$5)^E$5</f>
        <v>5.5463587496332782E-2</v>
      </c>
      <c r="K53" s="29">
        <f>1-EXP(J53-I53)</f>
        <v>0.14977472639881173</v>
      </c>
      <c r="L53" s="51">
        <f>M52*(1-AE53*C$6)</f>
        <v>45.666666666666664</v>
      </c>
      <c r="M53" s="52">
        <f>L53+E53</f>
        <v>100.66666666666666</v>
      </c>
      <c r="N53" s="17">
        <f>(M53/D$6)^E$6</f>
        <v>0.17552448466860393</v>
      </c>
      <c r="O53" s="17">
        <f>(L53/D$6)^E$6</f>
        <v>3.9715434673642101E-2</v>
      </c>
      <c r="P53" s="32">
        <f>1-EXP(O53-N53)</f>
        <v>0.12699068229244426</v>
      </c>
      <c r="Q53" s="53">
        <f>R52*(1-AF53*C$7)</f>
        <v>45.666666666666664</v>
      </c>
      <c r="R53" s="54">
        <f>Q53+E53</f>
        <v>100.66666666666666</v>
      </c>
      <c r="S53" s="16">
        <f>(R53/D$7)^E$7</f>
        <v>0.42613347475170693</v>
      </c>
      <c r="T53" s="16">
        <f>(Q53/D$7)^E$7</f>
        <v>6.2425173515745024E-2</v>
      </c>
      <c r="U53" s="35">
        <f>1-EXP(T53-S53)</f>
        <v>0.30490607678805748</v>
      </c>
      <c r="V53" s="55">
        <f>W52*(1-AG53*C$8)</f>
        <v>45.666666666666664</v>
      </c>
      <c r="W53" s="56">
        <f>V53+E53</f>
        <v>100.66666666666666</v>
      </c>
      <c r="X53" s="18">
        <f>(W53/D$8)^E$8</f>
        <v>2.275713304339216E-2</v>
      </c>
      <c r="Y53" s="18">
        <f>(V53/D$8)^E$8</f>
        <v>3.0803709406480337E-3</v>
      </c>
      <c r="Z53" s="38">
        <f>1-EXP(Y53-X53)</f>
        <v>1.9484438122753578E-2</v>
      </c>
      <c r="AA53" s="41">
        <f>K53*P53*U53*Z53</f>
        <v>1.1299633510053277E-4</v>
      </c>
      <c r="AB53" s="42">
        <f>1-AA53</f>
        <v>0.99988700366489947</v>
      </c>
      <c r="AC53" s="47">
        <f>AF53*F$7+E53+AC52</f>
        <v>100.66666666666666</v>
      </c>
      <c r="AD53" s="43">
        <v>0</v>
      </c>
      <c r="AE53" s="1">
        <v>0</v>
      </c>
      <c r="AF53" s="1">
        <v>0</v>
      </c>
      <c r="AG53" s="1">
        <v>0</v>
      </c>
      <c r="AH53" s="44">
        <v>110</v>
      </c>
    </row>
    <row r="54" spans="1:34" x14ac:dyDescent="0.25">
      <c r="A54" s="57">
        <v>4</v>
      </c>
      <c r="B54" s="58">
        <v>8</v>
      </c>
      <c r="C54" s="58">
        <v>500</v>
      </c>
      <c r="D54" s="58">
        <v>3</v>
      </c>
      <c r="E54" s="66">
        <f t="shared" si="5"/>
        <v>69.666666666666671</v>
      </c>
      <c r="F54" s="67">
        <v>140</v>
      </c>
      <c r="G54" s="68">
        <f>H53*(1-AD54*C$5)</f>
        <v>70.466666666666654</v>
      </c>
      <c r="H54" s="69">
        <f>G54+E54</f>
        <v>140.13333333333333</v>
      </c>
      <c r="I54" s="70">
        <f>(H54/D$5)^E$5</f>
        <v>0.38584942708200459</v>
      </c>
      <c r="J54" s="70">
        <f>(G54/D$5)^E$5</f>
        <v>0.11746622079432449</v>
      </c>
      <c r="K54" s="29">
        <f>1-EXP(J54-I54)</f>
        <v>0.2353852802132943</v>
      </c>
      <c r="L54" s="51">
        <f>M53*(1-AE54*C$6)</f>
        <v>70.466666666666654</v>
      </c>
      <c r="M54" s="52">
        <f>L54+E54</f>
        <v>140.13333333333333</v>
      </c>
      <c r="N54" s="17">
        <f>(M54/D$6)^E$6</f>
        <v>0.32689670548124367</v>
      </c>
      <c r="O54" s="17">
        <f>(L54/D$6)^E$6</f>
        <v>8.9768097666615101E-2</v>
      </c>
      <c r="P54" s="32">
        <f>1-EXP(O54-N54)</f>
        <v>0.21111017590303682</v>
      </c>
      <c r="Q54" s="53">
        <f>R53*(1-AF54*C$7)</f>
        <v>70.466666666666654</v>
      </c>
      <c r="R54" s="54">
        <f>Q54+E54</f>
        <v>140.13333333333333</v>
      </c>
      <c r="S54" s="16">
        <f>(R54/D$7)^E$7</f>
        <v>0.95198292505493443</v>
      </c>
      <c r="T54" s="16">
        <f>(Q54/D$7)^E$7</f>
        <v>0.17911579648738157</v>
      </c>
      <c r="U54" s="35">
        <f>1-EXP(T54-S54)</f>
        <v>0.53831254841918419</v>
      </c>
      <c r="V54" s="55">
        <f>W53*(1-AG54*C$8)</f>
        <v>70.466666666666654</v>
      </c>
      <c r="W54" s="56">
        <f>V54+E54</f>
        <v>140.13333333333333</v>
      </c>
      <c r="X54" s="18">
        <f>(W54/D$8)^E$8</f>
        <v>5.2549263360210582E-2</v>
      </c>
      <c r="Y54" s="18">
        <f>(V54/D$8)^E$8</f>
        <v>9.230295179589924E-3</v>
      </c>
      <c r="Z54" s="38">
        <f>1-EXP(Y54-X54)</f>
        <v>4.2394104462147641E-2</v>
      </c>
      <c r="AA54" s="41">
        <f>K54*P54*U54*Z54</f>
        <v>1.1340401680139554E-3</v>
      </c>
      <c r="AB54" s="42">
        <f>1-AA54</f>
        <v>0.99886595983198601</v>
      </c>
      <c r="AC54" s="47">
        <f>(AF54*F$7)+E54+AC53</f>
        <v>178.33333333333331</v>
      </c>
      <c r="AD54" s="77">
        <v>1</v>
      </c>
      <c r="AE54" s="78">
        <v>1</v>
      </c>
      <c r="AF54" s="78">
        <v>1</v>
      </c>
      <c r="AG54" s="78">
        <v>1</v>
      </c>
      <c r="AH54" s="79">
        <v>85</v>
      </c>
    </row>
    <row r="55" spans="1:34" ht="15.75" thickBot="1" x14ac:dyDescent="0.3">
      <c r="A55" s="76">
        <v>2</v>
      </c>
      <c r="B55" s="58">
        <v>9</v>
      </c>
      <c r="C55" s="58">
        <v>500</v>
      </c>
      <c r="D55" s="58">
        <v>2</v>
      </c>
      <c r="E55" s="66">
        <f t="shared" si="5"/>
        <v>77</v>
      </c>
      <c r="F55" s="67">
        <v>76</v>
      </c>
      <c r="G55" s="68">
        <f>H54*(1-AD55*C$5)</f>
        <v>98.09333333333332</v>
      </c>
      <c r="H55" s="69">
        <f>G55+E55</f>
        <v>175.09333333333331</v>
      </c>
      <c r="I55" s="70">
        <f>(H55/D$5)^E$5</f>
        <v>0.56722788558876358</v>
      </c>
      <c r="J55" s="70">
        <f>(G55/D$5)^E$5</f>
        <v>0.20817926408097581</v>
      </c>
      <c r="K55" s="29">
        <f>1-EXP(J55-I55)</f>
        <v>0.30165960383690649</v>
      </c>
      <c r="L55" s="51">
        <f>M54*(1-AE55*C$6)</f>
        <v>98.09333333333332</v>
      </c>
      <c r="M55" s="52">
        <f>L55+E55</f>
        <v>175.09333333333331</v>
      </c>
      <c r="N55" s="17">
        <f>(M55/D$6)^E$6</f>
        <v>0.49688911241375849</v>
      </c>
      <c r="O55" s="17">
        <f>(L55/D$6)^E$6</f>
        <v>0.16718405662856181</v>
      </c>
      <c r="P55" s="32">
        <f>1-EXP(O55-N55)</f>
        <v>0.28086419289859976</v>
      </c>
      <c r="Q55" s="53">
        <f>R54*(1-AF55*C$7)</f>
        <v>98.09333333333332</v>
      </c>
      <c r="R55" s="54">
        <f>Q55+E55</f>
        <v>175.09333333333331</v>
      </c>
      <c r="S55" s="16">
        <f>(R55/D$7)^E$7</f>
        <v>1.6356055775969487</v>
      </c>
      <c r="T55" s="16">
        <f>(Q55/D$7)^E$7</f>
        <v>0.40014500142931764</v>
      </c>
      <c r="U55" s="35">
        <f>1-EXP(T55-S55)</f>
        <v>0.70929915834970092</v>
      </c>
      <c r="V55" s="55">
        <f>W54*(1-AG55*C$8)</f>
        <v>98.09333333333332</v>
      </c>
      <c r="W55" s="56">
        <f>V55+E55</f>
        <v>175.09333333333331</v>
      </c>
      <c r="X55" s="18">
        <f>(W55/D$8)^E$8</f>
        <v>9.2318528237053152E-2</v>
      </c>
      <c r="Y55" s="18">
        <f>(V55/D$8)^E$8</f>
        <v>2.1313985876863013E-2</v>
      </c>
      <c r="Z55" s="38">
        <f>1-EXP(Y55-X55)</f>
        <v>6.8542338898215927E-2</v>
      </c>
      <c r="AA55" s="41">
        <f>K55*P55*U55*Z55</f>
        <v>4.1190958293501959E-3</v>
      </c>
      <c r="AB55" s="42">
        <f>1-AA55</f>
        <v>0.99588090417064978</v>
      </c>
      <c r="AC55" s="47">
        <f>(AF55*F$7)+E55+AC54</f>
        <v>263.33333333333331</v>
      </c>
      <c r="AD55" s="80">
        <v>1</v>
      </c>
      <c r="AE55" s="45">
        <v>1</v>
      </c>
      <c r="AF55" s="81">
        <v>1</v>
      </c>
      <c r="AG55" s="45">
        <v>1</v>
      </c>
      <c r="AH55" s="82">
        <v>40</v>
      </c>
    </row>
    <row r="56" spans="1:34" ht="18.75" x14ac:dyDescent="0.3">
      <c r="A56" s="132" t="s">
        <v>53</v>
      </c>
      <c r="B56" s="132"/>
      <c r="C56" s="132"/>
      <c r="D56" s="132"/>
      <c r="E56" s="132"/>
      <c r="F56" s="132"/>
      <c r="G56" s="132"/>
      <c r="H56" s="132"/>
      <c r="I56" s="132"/>
      <c r="J56" s="132"/>
      <c r="AG56" s="46"/>
    </row>
    <row r="57" spans="1:34" ht="15.75" x14ac:dyDescent="0.25">
      <c r="A57" s="19" t="s">
        <v>54</v>
      </c>
      <c r="B57" s="60" t="s">
        <v>49</v>
      </c>
      <c r="C57" s="61" t="s">
        <v>50</v>
      </c>
      <c r="D57" s="19" t="s">
        <v>58</v>
      </c>
      <c r="E57" s="60" t="s">
        <v>57</v>
      </c>
      <c r="F57" s="61" t="s">
        <v>50</v>
      </c>
      <c r="G57" s="19" t="s">
        <v>82</v>
      </c>
      <c r="H57" s="60" t="s">
        <v>61</v>
      </c>
      <c r="I57" s="61" t="s">
        <v>50</v>
      </c>
      <c r="J57" s="19" t="s">
        <v>48</v>
      </c>
      <c r="K57" s="83" t="s">
        <v>84</v>
      </c>
      <c r="L57" s="61" t="s">
        <v>50</v>
      </c>
      <c r="M57" s="61" t="s">
        <v>85</v>
      </c>
      <c r="O57" s="174" t="s">
        <v>64</v>
      </c>
      <c r="P57" s="174"/>
      <c r="Q57" s="175" t="s">
        <v>109</v>
      </c>
      <c r="R57" s="175"/>
    </row>
    <row r="58" spans="1:34" ht="24.75" x14ac:dyDescent="0.25">
      <c r="A58" s="61" t="s">
        <v>51</v>
      </c>
      <c r="B58" s="1">
        <f>AA52</f>
        <v>3.9101438569080559E-7</v>
      </c>
      <c r="C58" s="59">
        <f>MAX(AC52+1*L45-F52,0)</f>
        <v>0</v>
      </c>
      <c r="D58" s="62" t="s">
        <v>55</v>
      </c>
      <c r="E58" s="1">
        <f>AA52*AA53</f>
        <v>4.4183192554647236E-11</v>
      </c>
      <c r="F58" s="1">
        <f>MAX(AC53+2*L45-F53,0)</f>
        <v>18.666666666666657</v>
      </c>
      <c r="G58" s="62" t="s">
        <v>59</v>
      </c>
      <c r="H58" s="1">
        <f>AA52*AA53*AA54</f>
        <v>5.0105515108065096E-14</v>
      </c>
      <c r="I58" s="1">
        <f>AC54+3*L45-F54</f>
        <v>74.333333333333314</v>
      </c>
      <c r="J58" s="62" t="s">
        <v>83</v>
      </c>
      <c r="K58" s="1">
        <f>AA52*AA53*AA54*AA55</f>
        <v>2.0638941830907418E-16</v>
      </c>
      <c r="L58" s="1">
        <f>AC55+4*L45-F55</f>
        <v>235.33333333333331</v>
      </c>
      <c r="M58" s="1">
        <f>B58*C58*AH52+E58*F58*AH53+H58*I58*AH54+K58*L58*AH55</f>
        <v>9.1041348204224414E-8</v>
      </c>
      <c r="O58" s="1" t="s">
        <v>27</v>
      </c>
      <c r="P58" s="1">
        <f>2*H43</f>
        <v>3640</v>
      </c>
      <c r="Q58" s="1">
        <f>(K52*(1-P52)*(1-U52)*(1-Z52))+(P52*(1-K52)*(1-U52)*(1-Z52))+(U52*(1-K52)*(1-P52)*(1-Z52))+(Z52*(1-K52)*(1-P52)*(1-U52))</f>
        <v>0.1405459062810282</v>
      </c>
      <c r="R58" s="1">
        <f>Q58*(L$7*(J$5*K$5+L$5)+I$5)</f>
        <v>4953.5404668748388</v>
      </c>
    </row>
    <row r="59" spans="1:34" ht="24.75" x14ac:dyDescent="0.25">
      <c r="A59" s="62" t="s">
        <v>52</v>
      </c>
      <c r="B59" s="1">
        <f>AB52</f>
        <v>0.99999960898561435</v>
      </c>
      <c r="C59" s="59">
        <f>MAX(AC52-F52,0)</f>
        <v>0</v>
      </c>
      <c r="D59" s="62" t="s">
        <v>56</v>
      </c>
      <c r="E59" s="1">
        <f>AA52*AB53+AA53*AB52</f>
        <v>1.1338726111983848E-4</v>
      </c>
      <c r="F59" s="1">
        <f>MAX(AC53+1*L45-F53,0)</f>
        <v>6.6666666666666572</v>
      </c>
      <c r="G59" s="62" t="s">
        <v>60</v>
      </c>
      <c r="H59" s="1">
        <f>AA52*AA53*AB54+AA53*AA54*AB52+AA52*AA54*AB53</f>
        <v>1.2862984173802339E-7</v>
      </c>
      <c r="I59" s="1">
        <f>AC54+2*L45-F54</f>
        <v>62.333333333333314</v>
      </c>
      <c r="J59" s="62" t="s">
        <v>59</v>
      </c>
      <c r="K59">
        <f>AB52*AA53*AA54*AA55+AB53*AA52*AA54*AA55*+AB54*AA52*AA53*AA55+AB55*AA52*AA53*AA54</f>
        <v>5.2788044746527157E-10</v>
      </c>
      <c r="L59" s="1">
        <f>AC55+3*L45-F55</f>
        <v>223.33333333333331</v>
      </c>
      <c r="M59" s="1">
        <f>B59*C59*AH52+E59*F59*AH53+H59*I59*AH54+K59*L59*AH55</f>
        <v>8.383689766468741E-2</v>
      </c>
      <c r="O59" s="1" t="s">
        <v>28</v>
      </c>
      <c r="P59" s="1">
        <f>2*H44</f>
        <v>5440</v>
      </c>
      <c r="Q59" s="1">
        <f t="shared" ref="Q59:Q61" si="6">(K53*(1-P53)*(1-U53)*(1-Z53))+(P53*(1-K53)*(1-U53)*(1-Z53))+(U53*(1-K53)*(1-P53)*(1-Z53))+(Z53*(1-K53)*(1-P53)*(1-U53))</f>
        <v>0.39466439887986882</v>
      </c>
      <c r="R59" s="1">
        <f t="shared" ref="R59:R61" si="7">Q59*(L$7*(J$5*K$5+L$5)+I$5)</f>
        <v>13909.946738520977</v>
      </c>
    </row>
    <row r="60" spans="1:34" ht="24.75" x14ac:dyDescent="0.25">
      <c r="A60" s="1"/>
      <c r="B60" s="1"/>
      <c r="C60" s="1"/>
      <c r="D60" s="62" t="s">
        <v>52</v>
      </c>
      <c r="E60" s="1">
        <f>AB52*AB53</f>
        <v>0.99988661269469703</v>
      </c>
      <c r="F60" s="59">
        <f>MAX(AC53-F53,0)</f>
        <v>0</v>
      </c>
      <c r="G60" s="62" t="s">
        <v>56</v>
      </c>
      <c r="H60" s="1">
        <f>AA52*AB53*AB54+AA53*AB52*AB54*+AA54*AB52*AB53</f>
        <v>5.1850932753190381E-7</v>
      </c>
      <c r="I60" s="1">
        <f>AC54+1*L45-F54</f>
        <v>50.333333333333314</v>
      </c>
      <c r="J60" s="62" t="s">
        <v>60</v>
      </c>
      <c r="K60" s="1">
        <f>AA52*AA53*AB54*AB55 + AA52*AA54*AB53*AB55 + AA52*AA55*AB53*AB54 + AA53*AA54*AB52*AB55 + AA53*AA55*AB52*AB54 + AA54*AA55*AB52*AB53</f>
        <v>5.2653138099366116E-6</v>
      </c>
      <c r="L60" s="1">
        <f>AC55+2*L45-F55</f>
        <v>211.33333333333331</v>
      </c>
      <c r="M60" s="1">
        <f>B60*C60*AH52+E60*F60*AH53+H60*I60*AH54+K60*L60*AH55</f>
        <v>4.6727808479621477E-2</v>
      </c>
      <c r="O60" s="1" t="s">
        <v>29</v>
      </c>
      <c r="P60" s="1">
        <f>2*(F45*(J43*K43+L43)+H45)</f>
        <v>28200</v>
      </c>
      <c r="Q60" s="1">
        <f t="shared" si="6"/>
        <v>0.47621178535867087</v>
      </c>
      <c r="R60" s="1">
        <f t="shared" si="7"/>
        <v>16784.084374966355</v>
      </c>
    </row>
    <row r="61" spans="1:34" ht="24.75" x14ac:dyDescent="0.25">
      <c r="A61" s="1"/>
      <c r="B61" s="1"/>
      <c r="C61" s="1"/>
      <c r="D61" s="1"/>
      <c r="E61" s="1"/>
      <c r="F61" s="1"/>
      <c r="G61" s="62" t="s">
        <v>52</v>
      </c>
      <c r="H61" s="1">
        <f>AB52*AB53*AB54</f>
        <v>0.99875270111244174</v>
      </c>
      <c r="I61" s="63">
        <f>AC54-F54</f>
        <v>38.333333333333314</v>
      </c>
      <c r="J61" s="62" t="s">
        <v>56</v>
      </c>
      <c r="K61" s="1">
        <f>AA52*AB53*AB54*AB55+AA53*AB52*AB54*AB55+AA54*AB52*AB53*AB55+AA55*AB52*AB53*AB54</f>
        <v>5.3559911295640444E-3</v>
      </c>
      <c r="L61" s="1">
        <f>AC55+1*L45-F55</f>
        <v>199.33333333333331</v>
      </c>
      <c r="M61" s="1">
        <f>B61*C61*AH52+E61*F61*AH53+H61*I61*AH54+K61*L61*AH55</f>
        <v>3296.9743203977619</v>
      </c>
      <c r="O61" s="1" t="s">
        <v>30</v>
      </c>
      <c r="P61" s="1">
        <f>2*H46</f>
        <v>8640</v>
      </c>
      <c r="Q61" s="1">
        <f t="shared" si="6"/>
        <v>0.45365220828336789</v>
      </c>
      <c r="R61" s="1">
        <f t="shared" si="7"/>
        <v>15988.972080947302</v>
      </c>
    </row>
    <row r="62" spans="1:34" ht="30" x14ac:dyDescent="0.25">
      <c r="I62" s="84"/>
      <c r="J62" s="62" t="s">
        <v>52</v>
      </c>
      <c r="K62" s="85">
        <f>AB52*AB53*AB54*AB55</f>
        <v>0.99463874302673727</v>
      </c>
      <c r="L62" s="1">
        <f>AC55+0*L45-F55</f>
        <v>187.33333333333331</v>
      </c>
      <c r="M62" s="1">
        <f>B62*C62*AH52+E62*F62*AH53+H62*I62*AH54+K62*L62*AH55</f>
        <v>7453.1596477470166</v>
      </c>
      <c r="O62" s="64" t="s">
        <v>65</v>
      </c>
      <c r="P62" s="65">
        <f>SUM(P58:P61)</f>
        <v>45920</v>
      </c>
      <c r="Q62" s="96" t="s">
        <v>108</v>
      </c>
      <c r="R62" s="97">
        <f>SUM(R58:R61)</f>
        <v>51636.543661309472</v>
      </c>
    </row>
    <row r="63" spans="1:34" x14ac:dyDescent="0.25">
      <c r="L63" s="176" t="s">
        <v>63</v>
      </c>
      <c r="M63" s="177">
        <f>SUM(M58:M62)</f>
        <v>10750.264532941965</v>
      </c>
    </row>
    <row r="64" spans="1:34" x14ac:dyDescent="0.25">
      <c r="L64" s="176"/>
      <c r="M64" s="177"/>
    </row>
    <row r="65" spans="1:22" x14ac:dyDescent="0.25">
      <c r="A65" s="178" t="s">
        <v>90</v>
      </c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</row>
    <row r="66" spans="1:22" ht="15.75" x14ac:dyDescent="0.25">
      <c r="A66" s="87" t="s">
        <v>76</v>
      </c>
      <c r="B66" s="62" t="s">
        <v>49</v>
      </c>
      <c r="C66" s="90" t="s">
        <v>102</v>
      </c>
      <c r="D66" s="62" t="s">
        <v>88</v>
      </c>
      <c r="E66" s="87" t="s">
        <v>77</v>
      </c>
      <c r="F66" s="62" t="s">
        <v>57</v>
      </c>
      <c r="G66" s="90" t="s">
        <v>78</v>
      </c>
      <c r="H66" s="62" t="s">
        <v>88</v>
      </c>
      <c r="I66" s="87" t="s">
        <v>86</v>
      </c>
      <c r="J66" s="62" t="s">
        <v>61</v>
      </c>
      <c r="K66" s="90" t="s">
        <v>103</v>
      </c>
      <c r="L66" s="62" t="s">
        <v>88</v>
      </c>
      <c r="M66" s="87" t="s">
        <v>75</v>
      </c>
      <c r="N66" s="62" t="s">
        <v>84</v>
      </c>
      <c r="O66" s="90" t="s">
        <v>87</v>
      </c>
      <c r="P66" s="62" t="s">
        <v>88</v>
      </c>
    </row>
    <row r="67" spans="1:22" ht="24.75" x14ac:dyDescent="0.25">
      <c r="A67" s="62" t="s">
        <v>51</v>
      </c>
      <c r="B67" s="86">
        <v>3.9101438569080559E-7</v>
      </c>
      <c r="C67" s="86">
        <f>AC52+1*L45</f>
        <v>57.666666666666664</v>
      </c>
      <c r="D67" s="86">
        <f>MAX(B67*1.5*((C67-F52)*500/2),0)</f>
        <v>0</v>
      </c>
      <c r="E67" s="62" t="s">
        <v>55</v>
      </c>
      <c r="F67" s="86">
        <v>4.4183192554647236E-11</v>
      </c>
      <c r="G67" s="86">
        <f>AC53+2*L45</f>
        <v>124.66666666666666</v>
      </c>
      <c r="H67" s="86">
        <f>F67*1.5*((G67-F53)*500/2+(G67-F55)*500)</f>
        <v>1.9219688761271546E-6</v>
      </c>
      <c r="I67" s="62" t="s">
        <v>59</v>
      </c>
      <c r="J67" s="86">
        <v>5.0105515108065096E-14</v>
      </c>
      <c r="K67" s="86">
        <f>AC54+3*L45</f>
        <v>214.33333333333331</v>
      </c>
      <c r="L67" s="86">
        <f>J67*1.5*((K67-F54)*500/2+(K67-G67)*500)</f>
        <v>4.7662871246546914E-9</v>
      </c>
      <c r="M67" s="62" t="s">
        <v>83</v>
      </c>
      <c r="N67" s="86">
        <v>2.0638941830907418E-16</v>
      </c>
      <c r="O67" s="86">
        <f>AC55+4*L45</f>
        <v>311.33333333333331</v>
      </c>
      <c r="P67" s="86">
        <f>N67*1.5*((O67-K67)*500/2)</f>
        <v>7.5074150909925726E-12</v>
      </c>
    </row>
    <row r="68" spans="1:22" ht="24.75" x14ac:dyDescent="0.25">
      <c r="A68" s="62" t="s">
        <v>52</v>
      </c>
      <c r="B68" s="86">
        <v>0.99999960898561435</v>
      </c>
      <c r="C68" s="88">
        <f>AC52</f>
        <v>45.666666666666664</v>
      </c>
      <c r="D68" s="86">
        <f>MAX(B68*1.5*((C68-F52)*500/2),0)</f>
        <v>0</v>
      </c>
      <c r="E68" s="62" t="s">
        <v>56</v>
      </c>
      <c r="F68" s="86">
        <v>1.1338726111983848E-4</v>
      </c>
      <c r="G68" s="86">
        <f>AC53+1*L45</f>
        <v>112.66666666666666</v>
      </c>
      <c r="H68" s="86">
        <f>F68*1.5*((G68-F53)*500/2+(G68-F55)*500)</f>
        <v>3.4016178335951532</v>
      </c>
      <c r="I68" s="62" t="s">
        <v>60</v>
      </c>
      <c r="J68" s="86">
        <v>1.2862984173802339E-7</v>
      </c>
      <c r="K68" s="86">
        <f>AC54+2*L45</f>
        <v>202.33333333333331</v>
      </c>
      <c r="L68" s="86">
        <f>J68*1.5*((K68-F54)*500/2+(K68-G68)*500)</f>
        <v>1.165707940750837E-2</v>
      </c>
      <c r="M68" s="62" t="s">
        <v>59</v>
      </c>
      <c r="N68" s="86">
        <v>5.2788044746527157E-10</v>
      </c>
      <c r="O68" s="86">
        <f>AC55+3*L45</f>
        <v>299.33333333333331</v>
      </c>
      <c r="P68" s="86">
        <f>N68*1.5*((O68-K68)*500/2)</f>
        <v>1.9201651276549253E-5</v>
      </c>
    </row>
    <row r="69" spans="1:22" x14ac:dyDescent="0.25">
      <c r="A69" s="86"/>
      <c r="B69" s="86"/>
      <c r="C69" s="89" t="s">
        <v>89</v>
      </c>
      <c r="D69" s="89">
        <f>SUM(D67:D68)</f>
        <v>0</v>
      </c>
      <c r="E69" s="62" t="s">
        <v>52</v>
      </c>
      <c r="F69" s="86">
        <v>0.99988661269469703</v>
      </c>
      <c r="G69" s="86">
        <f>AC53+0*L45</f>
        <v>100.66666666666666</v>
      </c>
      <c r="H69" s="86">
        <f>F69*1.5*((G69-F55)*500)</f>
        <v>18497.902334851889</v>
      </c>
      <c r="I69" s="62" t="s">
        <v>56</v>
      </c>
      <c r="J69" s="86">
        <v>5.1850932753190381E-7</v>
      </c>
      <c r="K69" s="86">
        <f>AC54+1*L45</f>
        <v>190.33333333333331</v>
      </c>
      <c r="L69" s="86">
        <f>J69*1.5*((K69-F54)*500/2+(K69-G69)*500)</f>
        <v>4.4656615833685208E-2</v>
      </c>
      <c r="M69" s="62" t="s">
        <v>60</v>
      </c>
      <c r="N69" s="86">
        <v>5.2653138099366116E-6</v>
      </c>
      <c r="O69" s="86">
        <f>AC55+2*L45</f>
        <v>287.33333333333331</v>
      </c>
      <c r="P69" s="86">
        <f>N69*1.5*((O69-K69)*500/2)</f>
        <v>0.19152578983644425</v>
      </c>
    </row>
    <row r="70" spans="1:22" x14ac:dyDescent="0.25">
      <c r="A70" s="86"/>
      <c r="B70" s="86"/>
      <c r="C70" s="86"/>
      <c r="D70" s="86"/>
      <c r="E70" s="86"/>
      <c r="F70" s="86"/>
      <c r="G70" s="89" t="s">
        <v>79</v>
      </c>
      <c r="H70" s="89">
        <f>SUM(H67:H69)</f>
        <v>18501.303954607454</v>
      </c>
      <c r="I70" s="62" t="s">
        <v>52</v>
      </c>
      <c r="J70" s="86">
        <v>0.99875270111244174</v>
      </c>
      <c r="K70" s="86">
        <f>AC54+0*L45</f>
        <v>178.33333333333331</v>
      </c>
      <c r="L70" s="86">
        <f>J70*1.5*((K70-F54)*500/2+(K70-G69)*500)</f>
        <v>72534.414918291077</v>
      </c>
      <c r="M70" s="62" t="s">
        <v>56</v>
      </c>
      <c r="N70" s="86">
        <v>5.3559911295640444E-3</v>
      </c>
      <c r="O70" s="86">
        <f>AC55+1*L45</f>
        <v>275.33333333333331</v>
      </c>
      <c r="P70" s="86">
        <f>N70*1.5*((O70-K70)*500/2)</f>
        <v>194.82417733789211</v>
      </c>
    </row>
    <row r="71" spans="1:22" x14ac:dyDescent="0.25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9" t="s">
        <v>79</v>
      </c>
      <c r="L71" s="89">
        <f>SUM(L67:L70)</f>
        <v>72534.47123199109</v>
      </c>
      <c r="M71" s="62" t="s">
        <v>52</v>
      </c>
      <c r="N71" s="86">
        <v>0.99463874302673727</v>
      </c>
      <c r="O71" s="86">
        <f>AC55+0*L45</f>
        <v>263.33333333333331</v>
      </c>
      <c r="P71" s="86">
        <f>N71*1.5*((O71-K70)*500/2)</f>
        <v>31704.109933977252</v>
      </c>
      <c r="Q71" s="179" t="s">
        <v>80</v>
      </c>
      <c r="R71" s="179"/>
      <c r="S71" s="180">
        <f>D69+H70+L71+P72</f>
        <v>122934.90084290519</v>
      </c>
      <c r="T71" s="180"/>
    </row>
    <row r="72" spans="1:22" x14ac:dyDescent="0.25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9" t="s">
        <v>79</v>
      </c>
      <c r="P72" s="89">
        <f>SUM(P67:P71)</f>
        <v>31899.125656306638</v>
      </c>
      <c r="Q72" s="179"/>
      <c r="R72" s="179"/>
      <c r="S72" s="180"/>
      <c r="T72" s="180"/>
    </row>
    <row r="73" spans="1:22" x14ac:dyDescent="0.25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</row>
    <row r="74" spans="1:22" x14ac:dyDescent="0.25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</row>
    <row r="75" spans="1:22" x14ac:dyDescent="0.25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</row>
    <row r="76" spans="1:22" ht="24.75" thickBot="1" x14ac:dyDescent="0.3">
      <c r="O76" s="131" t="s">
        <v>81</v>
      </c>
      <c r="P76" s="131"/>
      <c r="Q76" s="131">
        <f>(R62+P62+M63+S71)/AC55</f>
        <v>878.13307229299983</v>
      </c>
      <c r="R76" s="131"/>
    </row>
    <row r="77" spans="1:22" x14ac:dyDescent="0.25">
      <c r="A77" s="181" t="s">
        <v>91</v>
      </c>
      <c r="B77" s="182"/>
    </row>
    <row r="78" spans="1:22" ht="15.75" thickBot="1" x14ac:dyDescent="0.3">
      <c r="A78" s="183"/>
      <c r="B78" s="184"/>
    </row>
    <row r="79" spans="1:22" ht="21" x14ac:dyDescent="0.35">
      <c r="A79" s="185" t="s">
        <v>14</v>
      </c>
      <c r="B79" s="18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O79" s="166" t="s">
        <v>72</v>
      </c>
      <c r="P79" s="166"/>
      <c r="Q79" s="166"/>
      <c r="R79" s="166"/>
      <c r="S79" s="166"/>
      <c r="T79" s="166"/>
      <c r="U79" s="166"/>
      <c r="V79" s="166"/>
    </row>
    <row r="80" spans="1:22" ht="36" x14ac:dyDescent="0.25">
      <c r="A80" s="4" t="s">
        <v>15</v>
      </c>
      <c r="B80" s="4" t="s">
        <v>16</v>
      </c>
      <c r="C80" s="4" t="s">
        <v>31</v>
      </c>
      <c r="D80" s="6" t="s">
        <v>17</v>
      </c>
      <c r="E80" s="6" t="s">
        <v>18</v>
      </c>
      <c r="F80" s="6" t="s">
        <v>19</v>
      </c>
      <c r="G80" s="6" t="s">
        <v>20</v>
      </c>
      <c r="H80" s="6" t="s">
        <v>21</v>
      </c>
      <c r="I80" s="6" t="s">
        <v>22</v>
      </c>
      <c r="J80" s="6" t="s">
        <v>23</v>
      </c>
      <c r="K80" s="6" t="s">
        <v>24</v>
      </c>
      <c r="L80" s="6" t="s">
        <v>25</v>
      </c>
      <c r="M80" s="6" t="s">
        <v>26</v>
      </c>
      <c r="N80" s="8"/>
      <c r="O80" s="167" t="s">
        <v>32</v>
      </c>
      <c r="P80" s="167" t="s">
        <v>35</v>
      </c>
      <c r="Q80" s="167" t="s">
        <v>66</v>
      </c>
      <c r="R80" s="99" t="s">
        <v>67</v>
      </c>
      <c r="S80" s="99" t="s">
        <v>68</v>
      </c>
      <c r="T80" s="167" t="s">
        <v>69</v>
      </c>
      <c r="U80" s="71" t="s">
        <v>33</v>
      </c>
      <c r="V80" s="99" t="s">
        <v>70</v>
      </c>
    </row>
    <row r="81" spans="1:34" x14ac:dyDescent="0.25">
      <c r="A81" s="3" t="s">
        <v>27</v>
      </c>
      <c r="B81" s="3">
        <v>0</v>
      </c>
      <c r="C81" s="3">
        <v>0.3</v>
      </c>
      <c r="D81" s="3">
        <v>243</v>
      </c>
      <c r="E81" s="3">
        <v>1.73</v>
      </c>
      <c r="F81" s="3">
        <v>5</v>
      </c>
      <c r="G81" s="169">
        <v>12</v>
      </c>
      <c r="H81" s="3">
        <v>1820</v>
      </c>
      <c r="I81" s="169">
        <v>19645</v>
      </c>
      <c r="J81" s="3">
        <v>20</v>
      </c>
      <c r="K81" s="3">
        <v>40</v>
      </c>
      <c r="L81" s="3">
        <v>500</v>
      </c>
      <c r="M81" s="3">
        <v>1000</v>
      </c>
      <c r="O81" s="168"/>
      <c r="P81" s="168"/>
      <c r="Q81" s="168"/>
      <c r="R81" s="72" t="s">
        <v>71</v>
      </c>
      <c r="S81" s="72" t="s">
        <v>71</v>
      </c>
      <c r="T81" s="168"/>
      <c r="U81" s="73">
        <v>500</v>
      </c>
      <c r="V81" s="3">
        <v>1.5</v>
      </c>
    </row>
    <row r="82" spans="1:34" x14ac:dyDescent="0.25">
      <c r="A82" s="3" t="s">
        <v>28</v>
      </c>
      <c r="B82" s="3">
        <v>0</v>
      </c>
      <c r="C82" s="3">
        <v>0.3</v>
      </c>
      <c r="D82" s="3">
        <v>254</v>
      </c>
      <c r="E82" s="3">
        <v>1.88</v>
      </c>
      <c r="F82" s="3">
        <v>3</v>
      </c>
      <c r="G82" s="170"/>
      <c r="H82" s="3">
        <v>2720</v>
      </c>
      <c r="I82" s="170"/>
      <c r="J82" s="5"/>
      <c r="K82" s="5"/>
      <c r="L82" s="5"/>
      <c r="M82" s="5"/>
      <c r="O82" s="74">
        <v>1</v>
      </c>
      <c r="P82" s="74">
        <v>106</v>
      </c>
      <c r="Q82" s="74">
        <v>110</v>
      </c>
      <c r="R82" s="74">
        <v>6</v>
      </c>
      <c r="S82" s="74">
        <v>5</v>
      </c>
      <c r="T82" s="74">
        <f>R82*$U$5/60+S82</f>
        <v>55</v>
      </c>
      <c r="U82" s="75"/>
    </row>
    <row r="83" spans="1:34" x14ac:dyDescent="0.25">
      <c r="A83" s="3" t="s">
        <v>29</v>
      </c>
      <c r="B83" s="3">
        <v>0</v>
      </c>
      <c r="C83" s="3">
        <v>0.3</v>
      </c>
      <c r="D83" s="3">
        <v>143</v>
      </c>
      <c r="E83" s="3">
        <v>2.4300000000000002</v>
      </c>
      <c r="F83" s="3">
        <v>8</v>
      </c>
      <c r="G83" s="170"/>
      <c r="H83" s="3">
        <v>3700</v>
      </c>
      <c r="I83" s="170"/>
      <c r="J83" s="5"/>
      <c r="K83" s="140" t="s">
        <v>73</v>
      </c>
      <c r="L83" s="141">
        <v>12</v>
      </c>
      <c r="M83" s="140" t="s">
        <v>74</v>
      </c>
      <c r="N83" s="141">
        <v>19645</v>
      </c>
      <c r="O83" s="74">
        <v>2</v>
      </c>
      <c r="P83" s="74">
        <v>76</v>
      </c>
      <c r="Q83" s="74">
        <v>40</v>
      </c>
      <c r="R83" s="74">
        <v>9</v>
      </c>
      <c r="S83" s="74">
        <v>2</v>
      </c>
      <c r="T83" s="74">
        <f t="shared" ref="T83:T85" si="8">R83*$U$5/60+S83</f>
        <v>77</v>
      </c>
      <c r="U83" s="75"/>
    </row>
    <row r="84" spans="1:34" x14ac:dyDescent="0.25">
      <c r="A84" s="3" t="s">
        <v>30</v>
      </c>
      <c r="B84" s="3">
        <v>0</v>
      </c>
      <c r="C84" s="3">
        <v>0.3</v>
      </c>
      <c r="D84" s="3">
        <v>449</v>
      </c>
      <c r="E84" s="3">
        <v>2.5299999999999998</v>
      </c>
      <c r="F84" s="3">
        <v>4</v>
      </c>
      <c r="G84" s="171"/>
      <c r="H84" s="3">
        <v>4320</v>
      </c>
      <c r="I84" s="171"/>
      <c r="J84" s="5"/>
      <c r="K84" s="140"/>
      <c r="L84" s="141"/>
      <c r="M84" s="140"/>
      <c r="N84" s="141"/>
      <c r="O84" s="74">
        <v>3</v>
      </c>
      <c r="P84" s="74">
        <v>95</v>
      </c>
      <c r="Q84" s="74">
        <v>67</v>
      </c>
      <c r="R84" s="74">
        <v>5</v>
      </c>
      <c r="S84" s="74">
        <v>4</v>
      </c>
      <c r="T84" s="74">
        <f t="shared" si="8"/>
        <v>45.666666666666664</v>
      </c>
      <c r="U84" s="75"/>
    </row>
    <row r="85" spans="1:34" ht="15.75" thickBo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O85" s="74">
        <v>4</v>
      </c>
      <c r="P85" s="74">
        <v>140</v>
      </c>
      <c r="Q85" s="94">
        <v>85</v>
      </c>
      <c r="R85" s="94">
        <v>8</v>
      </c>
      <c r="S85" s="94">
        <v>3</v>
      </c>
      <c r="T85" s="74">
        <f t="shared" si="8"/>
        <v>69.666666666666671</v>
      </c>
    </row>
    <row r="86" spans="1:34" ht="15" customHeight="1" x14ac:dyDescent="0.25">
      <c r="A86" s="142" t="s">
        <v>100</v>
      </c>
      <c r="B86" s="144" t="s">
        <v>129</v>
      </c>
      <c r="C86" s="144"/>
      <c r="D86" s="144"/>
      <c r="E86" s="144"/>
      <c r="F86" s="20" t="s">
        <v>27</v>
      </c>
      <c r="G86" s="20" t="s">
        <v>28</v>
      </c>
      <c r="H86" s="20" t="s">
        <v>29</v>
      </c>
      <c r="I86" s="20" t="s">
        <v>30</v>
      </c>
    </row>
    <row r="87" spans="1:34" ht="15.75" customHeight="1" thickBot="1" x14ac:dyDescent="0.3">
      <c r="A87" s="143"/>
      <c r="B87" s="145"/>
      <c r="C87" s="145"/>
      <c r="D87" s="145"/>
      <c r="E87" s="145"/>
      <c r="F87" s="20">
        <v>91</v>
      </c>
      <c r="G87" s="26">
        <v>91</v>
      </c>
      <c r="H87" s="26">
        <v>91</v>
      </c>
      <c r="I87" s="26">
        <v>91</v>
      </c>
    </row>
    <row r="88" spans="1:34" ht="15.75" customHeight="1" thickBot="1" x14ac:dyDescent="0.3">
      <c r="A88" s="143"/>
      <c r="B88" s="145"/>
      <c r="C88" s="145"/>
      <c r="D88" s="145"/>
      <c r="E88" s="145"/>
      <c r="F88" s="7"/>
      <c r="G88" s="146" t="s">
        <v>27</v>
      </c>
      <c r="H88" s="147"/>
      <c r="I88" s="147"/>
      <c r="J88" s="147"/>
      <c r="K88" s="148"/>
      <c r="L88" s="149" t="s">
        <v>28</v>
      </c>
      <c r="M88" s="150"/>
      <c r="N88" s="150"/>
      <c r="O88" s="150"/>
      <c r="P88" s="151"/>
      <c r="Q88" s="152" t="s">
        <v>29</v>
      </c>
      <c r="R88" s="153"/>
      <c r="S88" s="153"/>
      <c r="T88" s="153"/>
      <c r="U88" s="154"/>
      <c r="V88" s="155" t="s">
        <v>30</v>
      </c>
      <c r="W88" s="156"/>
      <c r="X88" s="156"/>
      <c r="Y88" s="156"/>
      <c r="Z88" s="157"/>
      <c r="AA88" s="158" t="s">
        <v>42</v>
      </c>
      <c r="AB88" s="159"/>
      <c r="AC88" s="160" t="s">
        <v>44</v>
      </c>
      <c r="AD88" s="162" t="s">
        <v>47</v>
      </c>
      <c r="AE88" s="163"/>
      <c r="AF88" s="163"/>
      <c r="AG88" s="164"/>
      <c r="AH88" s="138" t="s">
        <v>62</v>
      </c>
    </row>
    <row r="89" spans="1:34" ht="36.75" x14ac:dyDescent="0.25">
      <c r="A89" s="21" t="s">
        <v>32</v>
      </c>
      <c r="B89" s="22" t="s">
        <v>37</v>
      </c>
      <c r="C89" s="23" t="s">
        <v>33</v>
      </c>
      <c r="D89" s="22" t="s">
        <v>38</v>
      </c>
      <c r="E89" s="22" t="s">
        <v>34</v>
      </c>
      <c r="F89" s="25" t="s">
        <v>35</v>
      </c>
      <c r="G89" s="27" t="s">
        <v>39</v>
      </c>
      <c r="H89" s="10" t="s">
        <v>40</v>
      </c>
      <c r="I89" s="10" t="s">
        <v>45</v>
      </c>
      <c r="J89" s="10" t="s">
        <v>46</v>
      </c>
      <c r="K89" s="28" t="s">
        <v>41</v>
      </c>
      <c r="L89" s="30" t="s">
        <v>39</v>
      </c>
      <c r="M89" s="13" t="s">
        <v>40</v>
      </c>
      <c r="N89" s="13" t="s">
        <v>45</v>
      </c>
      <c r="O89" s="13" t="s">
        <v>46</v>
      </c>
      <c r="P89" s="31" t="s">
        <v>41</v>
      </c>
      <c r="Q89" s="33" t="s">
        <v>39</v>
      </c>
      <c r="R89" s="12" t="s">
        <v>40</v>
      </c>
      <c r="S89" s="12" t="s">
        <v>45</v>
      </c>
      <c r="T89" s="12" t="s">
        <v>46</v>
      </c>
      <c r="U89" s="34" t="s">
        <v>41</v>
      </c>
      <c r="V89" s="36" t="s">
        <v>39</v>
      </c>
      <c r="W89" s="11" t="s">
        <v>40</v>
      </c>
      <c r="X89" s="11" t="s">
        <v>45</v>
      </c>
      <c r="Y89" s="11" t="s">
        <v>46</v>
      </c>
      <c r="Z89" s="37" t="s">
        <v>41</v>
      </c>
      <c r="AA89" s="39" t="s">
        <v>41</v>
      </c>
      <c r="AB89" s="40" t="s">
        <v>43</v>
      </c>
      <c r="AC89" s="161"/>
      <c r="AD89" s="43" t="s">
        <v>27</v>
      </c>
      <c r="AE89" s="1" t="s">
        <v>28</v>
      </c>
      <c r="AF89" s="1" t="s">
        <v>29</v>
      </c>
      <c r="AG89" s="1" t="s">
        <v>30</v>
      </c>
      <c r="AH89" s="139"/>
    </row>
    <row r="90" spans="1:34" x14ac:dyDescent="0.25">
      <c r="A90" s="24">
        <v>3</v>
      </c>
      <c r="B90" s="9">
        <v>5</v>
      </c>
      <c r="C90" s="9">
        <v>500</v>
      </c>
      <c r="D90" s="9">
        <v>4</v>
      </c>
      <c r="E90" s="48">
        <f>B90*C90/60+D90</f>
        <v>45.666666666666664</v>
      </c>
      <c r="F90" s="14">
        <v>95</v>
      </c>
      <c r="G90" s="49">
        <f>B$5*(1-AD90*C$5)</f>
        <v>0</v>
      </c>
      <c r="H90" s="50">
        <f>G90+E90</f>
        <v>45.666666666666664</v>
      </c>
      <c r="I90" s="15">
        <f>(H90/D$5)^E$5</f>
        <v>5.5463587496332782E-2</v>
      </c>
      <c r="J90" s="15">
        <f>(G90/D$5)^E$5</f>
        <v>0</v>
      </c>
      <c r="K90" s="29">
        <f>1-EXP(J90-I90)</f>
        <v>5.3953529036131931E-2</v>
      </c>
      <c r="L90" s="51">
        <f>B$6*(1-AE90*C$6)</f>
        <v>0</v>
      </c>
      <c r="M90" s="52">
        <f>L90+E90</f>
        <v>45.666666666666664</v>
      </c>
      <c r="N90" s="17">
        <f>(M90/D$6)^E$6</f>
        <v>3.9715434673642101E-2</v>
      </c>
      <c r="O90" s="17">
        <f>(L90/D$6)^E$6</f>
        <v>0</v>
      </c>
      <c r="P90" s="32">
        <f>1-EXP(O90-N90)</f>
        <v>3.8937114582545562E-2</v>
      </c>
      <c r="Q90" s="53">
        <f>B$7*(1-AF90*C$7)</f>
        <v>0</v>
      </c>
      <c r="R90" s="54">
        <f>Q90+E90</f>
        <v>45.666666666666664</v>
      </c>
      <c r="S90" s="16">
        <f>(R90/D$7)^E$7</f>
        <v>6.2425173515745024E-2</v>
      </c>
      <c r="T90" s="16">
        <f>(Q90/D$7)^E$7</f>
        <v>0</v>
      </c>
      <c r="U90" s="35">
        <f>1-EXP(T90-S90)</f>
        <v>6.0516641579816954E-2</v>
      </c>
      <c r="V90" s="55">
        <f>B$8*(1-AG90*C$8)</f>
        <v>0</v>
      </c>
      <c r="W90" s="56">
        <f>V90+E90</f>
        <v>45.666666666666664</v>
      </c>
      <c r="X90" s="18">
        <f>(W90/D$8)^E$8</f>
        <v>3.0803709406480337E-3</v>
      </c>
      <c r="Y90" s="18">
        <f>(V90/D$8)^E$8</f>
        <v>0</v>
      </c>
      <c r="Z90" s="38">
        <f>1-EXP(Y90-X90)</f>
        <v>3.0756314657778283E-3</v>
      </c>
      <c r="AA90" s="41">
        <f>K90*P90*U90*Z90</f>
        <v>3.9101438569080559E-7</v>
      </c>
      <c r="AB90" s="42">
        <f>1-AA90</f>
        <v>0.99999960898561435</v>
      </c>
      <c r="AC90" s="47">
        <f>(AD90*F$5+AE90*F$6+AF90*F$7+AG90*F$8)+E90</f>
        <v>45.666666666666664</v>
      </c>
      <c r="AD90" s="43">
        <v>0</v>
      </c>
      <c r="AE90" s="1">
        <v>0</v>
      </c>
      <c r="AF90" s="1">
        <v>0</v>
      </c>
      <c r="AG90" s="1">
        <v>0</v>
      </c>
      <c r="AH90" s="44">
        <v>67</v>
      </c>
    </row>
    <row r="91" spans="1:34" x14ac:dyDescent="0.25">
      <c r="A91" s="24">
        <v>2</v>
      </c>
      <c r="B91" s="9">
        <v>9</v>
      </c>
      <c r="C91" s="9">
        <v>500</v>
      </c>
      <c r="D91" s="9">
        <v>2</v>
      </c>
      <c r="E91" s="9">
        <f t="shared" ref="E91:E93" si="9">B91*C91/60+D91</f>
        <v>77</v>
      </c>
      <c r="F91" s="14">
        <v>76</v>
      </c>
      <c r="G91" s="49">
        <f>H90*(1-AD91*C$5)</f>
        <v>45.666666666666664</v>
      </c>
      <c r="H91" s="50">
        <f>G91+E91</f>
        <v>122.66666666666666</v>
      </c>
      <c r="I91" s="15">
        <f>(H91/D$5)^E$5</f>
        <v>0.30647715135734394</v>
      </c>
      <c r="J91" s="15">
        <f>(G91/D$5)^E$5</f>
        <v>5.5463587496332782E-2</v>
      </c>
      <c r="K91" s="29">
        <f>1-EXP(J91-I91)</f>
        <v>0.22198818135678478</v>
      </c>
      <c r="L91" s="51">
        <f>M90*(1-AE91*C$6)</f>
        <v>45.666666666666664</v>
      </c>
      <c r="M91" s="52">
        <f>L91+E91</f>
        <v>122.66666666666666</v>
      </c>
      <c r="N91" s="17">
        <f>(M91/D$6)^E$6</f>
        <v>0.25451802994245737</v>
      </c>
      <c r="O91" s="17">
        <f>(L91/D$6)^E$6</f>
        <v>3.9715434673642101E-2</v>
      </c>
      <c r="P91" s="32">
        <f>1-EXP(O91-N91)</f>
        <v>0.19329932901054481</v>
      </c>
      <c r="Q91" s="53">
        <f>R90*(1-AF91*C$7)</f>
        <v>45.666666666666664</v>
      </c>
      <c r="R91" s="54">
        <f>Q91+E91</f>
        <v>122.66666666666666</v>
      </c>
      <c r="S91" s="16">
        <f>(R91/D$7)^E$7</f>
        <v>0.68887270848465465</v>
      </c>
      <c r="T91" s="16">
        <f>(Q91/D$7)^E$7</f>
        <v>6.2425173515745024E-2</v>
      </c>
      <c r="U91" s="35">
        <f>1-EXP(T91-S91)</f>
        <v>0.46551282060476484</v>
      </c>
      <c r="V91" s="55">
        <f>W90*(1-AG91*C$8)</f>
        <v>45.666666666666664</v>
      </c>
      <c r="W91" s="56">
        <f>V91+E91</f>
        <v>122.66666666666666</v>
      </c>
      <c r="X91" s="18">
        <f>(W91/D$8)^E$8</f>
        <v>3.7522776286050503E-2</v>
      </c>
      <c r="Y91" s="18">
        <f>(V91/D$8)^E$8</f>
        <v>3.0803709406480337E-3</v>
      </c>
      <c r="Z91" s="38">
        <f>1-EXP(Y91-X91)</f>
        <v>3.3856017186915555E-2</v>
      </c>
      <c r="AA91" s="41">
        <f>K91*P91*U91*Z91</f>
        <v>6.7628181964517946E-4</v>
      </c>
      <c r="AB91" s="42">
        <f>1-AA91</f>
        <v>0.99932371818035481</v>
      </c>
      <c r="AC91" s="47">
        <f>AF91*F$7+E91+AC90</f>
        <v>122.66666666666666</v>
      </c>
      <c r="AD91" s="43">
        <v>0</v>
      </c>
      <c r="AE91" s="1">
        <v>0</v>
      </c>
      <c r="AF91" s="1">
        <v>0</v>
      </c>
      <c r="AG91" s="1">
        <v>0</v>
      </c>
      <c r="AH91" s="44">
        <v>40</v>
      </c>
    </row>
    <row r="92" spans="1:34" x14ac:dyDescent="0.25">
      <c r="A92" s="57">
        <v>1</v>
      </c>
      <c r="B92" s="58">
        <v>6</v>
      </c>
      <c r="C92" s="58">
        <v>500</v>
      </c>
      <c r="D92" s="58">
        <v>5</v>
      </c>
      <c r="E92" s="66">
        <f t="shared" si="9"/>
        <v>55</v>
      </c>
      <c r="F92" s="67">
        <v>106</v>
      </c>
      <c r="G92" s="68">
        <f>H91*(1-AD92*C$5)</f>
        <v>85.86666666666666</v>
      </c>
      <c r="H92" s="69">
        <f>G92+E92</f>
        <v>140.86666666666667</v>
      </c>
      <c r="I92" s="70">
        <f>(H92/D$5)^E$5</f>
        <v>0.3893493001630618</v>
      </c>
      <c r="J92" s="70">
        <f>(G92/D$5)^E$5</f>
        <v>0.16535514464725598</v>
      </c>
      <c r="K92" s="29">
        <f>1-EXP(J92-I92)</f>
        <v>0.20068019403231441</v>
      </c>
      <c r="L92" s="51">
        <f>M91*(1-AE92*C$6)</f>
        <v>85.86666666666666</v>
      </c>
      <c r="M92" s="52">
        <f>L92+E92</f>
        <v>140.86666666666667</v>
      </c>
      <c r="N92" s="17">
        <f>(M92/D$6)^E$6</f>
        <v>0.33012020048485397</v>
      </c>
      <c r="O92" s="17">
        <f>(L92/D$6)^E$6</f>
        <v>0.13016759122196553</v>
      </c>
      <c r="P92" s="32">
        <f>1-EXP(O92-N92)</f>
        <v>0.18123044574873304</v>
      </c>
      <c r="Q92" s="53">
        <f>R91*(1-AF92*C$7)</f>
        <v>85.86666666666666</v>
      </c>
      <c r="R92" s="54">
        <f>Q92+E92</f>
        <v>140.86666666666667</v>
      </c>
      <c r="S92" s="16">
        <f>(R92/D$7)^E$7</f>
        <v>0.9641341084452858</v>
      </c>
      <c r="T92" s="16">
        <f>(Q92/D$7)^E$7</f>
        <v>0.28955243173642403</v>
      </c>
      <c r="U92" s="35">
        <f>1-EXP(T92-S92)</f>
        <v>0.49063054284691032</v>
      </c>
      <c r="V92" s="55">
        <f>W91*(1-AG92*C$8)</f>
        <v>85.86666666666666</v>
      </c>
      <c r="W92" s="56">
        <f>V92+E92</f>
        <v>140.86666666666667</v>
      </c>
      <c r="X92" s="18">
        <f>(W92/D$8)^E$8</f>
        <v>5.3247791458637797E-2</v>
      </c>
      <c r="Y92" s="18">
        <f>(V92/D$8)^E$8</f>
        <v>1.5219241387637328E-2</v>
      </c>
      <c r="Z92" s="38">
        <f>1-EXP(Y92-X92)</f>
        <v>3.7314544239262948E-2</v>
      </c>
      <c r="AA92" s="41">
        <f>K92*P92*U92*Z92</f>
        <v>6.658377175758855E-4</v>
      </c>
      <c r="AB92" s="42">
        <f>1-AA92</f>
        <v>0.99933416228242411</v>
      </c>
      <c r="AC92" s="47">
        <f>(AF92*F$7)+E92+AC91</f>
        <v>185.66666666666666</v>
      </c>
      <c r="AD92" s="77">
        <v>1</v>
      </c>
      <c r="AE92" s="78">
        <v>1</v>
      </c>
      <c r="AF92" s="78">
        <v>1</v>
      </c>
      <c r="AG92" s="78">
        <v>1</v>
      </c>
      <c r="AH92" s="79">
        <v>110</v>
      </c>
    </row>
    <row r="93" spans="1:34" ht="15.75" thickBot="1" x14ac:dyDescent="0.3">
      <c r="A93" s="76">
        <v>4</v>
      </c>
      <c r="B93" s="58">
        <v>8</v>
      </c>
      <c r="C93" s="58">
        <v>500</v>
      </c>
      <c r="D93" s="58">
        <v>3</v>
      </c>
      <c r="E93" s="66">
        <f t="shared" si="9"/>
        <v>69.666666666666671</v>
      </c>
      <c r="F93" s="67">
        <v>140</v>
      </c>
      <c r="G93" s="68">
        <f>H92*(1-AD93*C$5)</f>
        <v>98.606666666666669</v>
      </c>
      <c r="H93" s="69">
        <f>G93+E93</f>
        <v>168.27333333333334</v>
      </c>
      <c r="I93" s="70">
        <f>(H93/D$5)^E$5</f>
        <v>0.52955077969900988</v>
      </c>
      <c r="J93" s="70">
        <f>(G93/D$5)^E$5</f>
        <v>0.21006756804426371</v>
      </c>
      <c r="K93" s="29">
        <f>1-EXP(J93-I93)</f>
        <v>0.27347560058394416</v>
      </c>
      <c r="L93" s="51">
        <f>M92*(1-AE93*C$6)</f>
        <v>98.606666666666669</v>
      </c>
      <c r="M93" s="52">
        <f>L93+E93</f>
        <v>168.27333333333334</v>
      </c>
      <c r="N93" s="17">
        <f>(M93/D$6)^E$6</f>
        <v>0.46112787141135408</v>
      </c>
      <c r="O93" s="17">
        <f>(L93/D$6)^E$6</f>
        <v>0.16883264152461361</v>
      </c>
      <c r="P93" s="32">
        <f>1-EXP(O93-N93)</f>
        <v>0.25345189987571315</v>
      </c>
      <c r="Q93" s="53">
        <f>R92*(1-AF93*C$7)</f>
        <v>98.606666666666669</v>
      </c>
      <c r="R93" s="54">
        <f>Q93+E93</f>
        <v>168.27333333333334</v>
      </c>
      <c r="S93" s="16">
        <f>(R93/D$7)^E$7</f>
        <v>1.4850825755388559</v>
      </c>
      <c r="T93" s="16">
        <f>(Q93/D$7)^E$7</f>
        <v>0.4052524830522885</v>
      </c>
      <c r="U93" s="35">
        <f>1-EXP(T93-S93)</f>
        <v>0.66034676962163052</v>
      </c>
      <c r="V93" s="55">
        <f>W92*(1-AG93*C$8)</f>
        <v>98.606666666666669</v>
      </c>
      <c r="W93" s="56">
        <f>V93+E93</f>
        <v>168.27333333333334</v>
      </c>
      <c r="X93" s="18">
        <f>(W93/D$8)^E$8</f>
        <v>8.349019216035386E-2</v>
      </c>
      <c r="Y93" s="18">
        <f>(V93/D$8)^E$8</f>
        <v>2.1597308935502563E-2</v>
      </c>
      <c r="Z93" s="38">
        <f>1-EXP(Y93-X93)</f>
        <v>6.0016430592758296E-2</v>
      </c>
      <c r="AA93" s="41">
        <f>K93*P93*U93*Z93</f>
        <v>2.7469854313719741E-3</v>
      </c>
      <c r="AB93" s="42">
        <f>1-AA93</f>
        <v>0.99725301456862803</v>
      </c>
      <c r="AC93" s="47">
        <f>(AF93*F$7)+E93+AC92</f>
        <v>263.33333333333331</v>
      </c>
      <c r="AD93" s="80">
        <v>1</v>
      </c>
      <c r="AE93" s="45">
        <v>1</v>
      </c>
      <c r="AF93" s="81">
        <v>1</v>
      </c>
      <c r="AG93" s="45">
        <v>1</v>
      </c>
      <c r="AH93" s="82">
        <v>85</v>
      </c>
    </row>
    <row r="94" spans="1:34" ht="18.75" x14ac:dyDescent="0.3">
      <c r="A94" s="132" t="s">
        <v>53</v>
      </c>
      <c r="B94" s="132"/>
      <c r="C94" s="132"/>
      <c r="D94" s="132"/>
      <c r="E94" s="132"/>
      <c r="F94" s="132"/>
      <c r="G94" s="132"/>
      <c r="H94" s="132"/>
      <c r="I94" s="132"/>
      <c r="J94" s="132"/>
      <c r="AG94" s="46"/>
    </row>
    <row r="95" spans="1:34" ht="15.75" x14ac:dyDescent="0.25">
      <c r="A95" s="19" t="s">
        <v>54</v>
      </c>
      <c r="B95" s="60" t="s">
        <v>49</v>
      </c>
      <c r="C95" s="61" t="s">
        <v>50</v>
      </c>
      <c r="D95" s="19" t="s">
        <v>48</v>
      </c>
      <c r="E95" s="60" t="s">
        <v>57</v>
      </c>
      <c r="F95" s="61" t="s">
        <v>50</v>
      </c>
      <c r="G95" s="19" t="s">
        <v>58</v>
      </c>
      <c r="H95" s="60" t="s">
        <v>61</v>
      </c>
      <c r="I95" s="61" t="s">
        <v>50</v>
      </c>
      <c r="J95" s="19" t="s">
        <v>82</v>
      </c>
      <c r="K95" s="83" t="s">
        <v>84</v>
      </c>
      <c r="L95" s="61" t="s">
        <v>50</v>
      </c>
      <c r="M95" s="61" t="s">
        <v>85</v>
      </c>
      <c r="O95" s="174" t="s">
        <v>64</v>
      </c>
      <c r="P95" s="174"/>
      <c r="Q95" s="175" t="s">
        <v>109</v>
      </c>
      <c r="R95" s="175"/>
    </row>
    <row r="96" spans="1:34" ht="24.75" x14ac:dyDescent="0.25">
      <c r="A96" s="61" t="s">
        <v>51</v>
      </c>
      <c r="B96" s="1">
        <f>AA90</f>
        <v>3.9101438569080559E-7</v>
      </c>
      <c r="C96" s="59">
        <f>MAX(AC90+1*L83-F90,0)</f>
        <v>0</v>
      </c>
      <c r="D96" s="62" t="s">
        <v>55</v>
      </c>
      <c r="E96" s="1">
        <f>AA90*AA91</f>
        <v>2.6443592026242004E-10</v>
      </c>
      <c r="F96" s="1">
        <f>MAX(AC91+2*L83-F91,0)</f>
        <v>70.666666666666657</v>
      </c>
      <c r="G96" s="62" t="s">
        <v>59</v>
      </c>
      <c r="H96" s="1">
        <f>AA90*AA91*AA92</f>
        <v>1.7607140959260861E-13</v>
      </c>
      <c r="I96" s="1">
        <f>AC92+3*L83-F92</f>
        <v>115.66666666666666</v>
      </c>
      <c r="J96" s="62" t="s">
        <v>83</v>
      </c>
      <c r="K96" s="1">
        <f>AA90*AA91*AA92*AA93</f>
        <v>4.8366559703202349E-16</v>
      </c>
      <c r="L96" s="1">
        <f>AC93+4*L83-F93</f>
        <v>171.33333333333331</v>
      </c>
      <c r="M96" s="1">
        <f>B96*C96*AH90+E96*F96*AH91+H96*I96*AH92+K96*L96*AH93</f>
        <v>7.497194602931352E-7</v>
      </c>
      <c r="O96" s="1" t="s">
        <v>27</v>
      </c>
      <c r="P96" s="1">
        <f>2*H81</f>
        <v>3640</v>
      </c>
      <c r="Q96" s="1">
        <f>(K90*(1-P90)*(1-U90)*(1-Z90))+(P90*(1-K90)*(1-U90)*(1-Z90))+(U90*(1-K90)*(1-P90)*(1-Z90))+(Z90*(1-K90)*(1-P90)*(1-U90))</f>
        <v>0.1405459062810282</v>
      </c>
      <c r="R96" s="1">
        <f>Q96*(L$7*(J$5*K$5+L$5)+I$5)</f>
        <v>4953.5404668748388</v>
      </c>
    </row>
    <row r="97" spans="1:20" ht="24.75" x14ac:dyDescent="0.25">
      <c r="A97" s="62" t="s">
        <v>52</v>
      </c>
      <c r="B97" s="1">
        <f>AB90</f>
        <v>0.99999960898561435</v>
      </c>
      <c r="C97" s="59">
        <f>MAX(AC90-F90,0)</f>
        <v>0</v>
      </c>
      <c r="D97" s="62" t="s">
        <v>56</v>
      </c>
      <c r="E97" s="1">
        <f>AA90*AB91+AA91*AB90</f>
        <v>6.7667230515902979E-4</v>
      </c>
      <c r="F97" s="1">
        <f>MAX(AC91+1*L83-F91,0)</f>
        <v>58.666666666666657</v>
      </c>
      <c r="G97" s="62" t="s">
        <v>60</v>
      </c>
      <c r="H97" s="1">
        <f>AA90*AA91*AB92+AA91*AA92*AB90+AA90*AA92*AB91</f>
        <v>4.5081820306275424E-7</v>
      </c>
      <c r="I97" s="1">
        <f>AC92+2*L83-F92</f>
        <v>103.66666666666666</v>
      </c>
      <c r="J97" s="62" t="s">
        <v>59</v>
      </c>
      <c r="K97">
        <f>AB90*AA91*AA92*AA93+AB91*AA90*AA92*AA93*+AB92*AA90*AA91*AA93+AB93*AA90*AA91*AA92</f>
        <v>1.2371260059679319E-9</v>
      </c>
      <c r="L97" s="1">
        <f>AC93+3*L83-F93</f>
        <v>159.33333333333331</v>
      </c>
      <c r="M97" s="1">
        <f>B97*C97*AH90+E97*F97*AH91+H97*I97*AH92+K97*L97*AH93</f>
        <v>1.5930819278253225</v>
      </c>
      <c r="O97" s="1" t="s">
        <v>28</v>
      </c>
      <c r="P97" s="1">
        <f>2*H82</f>
        <v>5440</v>
      </c>
      <c r="Q97" s="1">
        <f t="shared" ref="Q97:Q99" si="10">(K91*(1-P91)*(1-U91)*(1-Z91))+(P91*(1-K91)*(1-U91)*(1-Z91))+(U91*(1-K91)*(1-P91)*(1-Z91))+(Z91*(1-K91)*(1-P91)*(1-U91))</f>
        <v>0.4637660892509754</v>
      </c>
      <c r="R97" s="1">
        <f t="shared" ref="R97:R99" si="11">Q97*(L$7*(J$5*K$5+L$5)+I$5)</f>
        <v>16345.435815650628</v>
      </c>
    </row>
    <row r="98" spans="1:20" ht="24.75" x14ac:dyDescent="0.25">
      <c r="A98" s="1"/>
      <c r="B98" s="1"/>
      <c r="C98" s="1"/>
      <c r="D98" s="62" t="s">
        <v>52</v>
      </c>
      <c r="E98" s="1">
        <f>AB90*AB91</f>
        <v>0.99932332743040508</v>
      </c>
      <c r="F98" s="59">
        <f>MAX(AC91-F91,0)</f>
        <v>46.666666666666657</v>
      </c>
      <c r="G98" s="62" t="s">
        <v>56</v>
      </c>
      <c r="H98" s="1">
        <f>AA90*AB91*AB92+AA91*AB90*AB92*+AA92*AB90*AB91</f>
        <v>8.4017921974209999E-7</v>
      </c>
      <c r="I98" s="1">
        <f>AC92+1*L83-F92</f>
        <v>91.666666666666657</v>
      </c>
      <c r="J98" s="62" t="s">
        <v>60</v>
      </c>
      <c r="K98" s="1">
        <f>AA90*AA91*AB92*AB93 + AA90*AA92*AB91*AB93 + AA90*AA93*AB91*AB92 + AA91*AA92*AB90*AB93 + AA91*AA93*AB90*AB92 + AA92*AA93*AB90*AB91</f>
        <v>4.1349599552306368E-6</v>
      </c>
      <c r="L98" s="1">
        <f>AC93+2*L83-F93</f>
        <v>147.33333333333331</v>
      </c>
      <c r="M98" s="1">
        <f>B98*C98*AH90+E98*F98*AH91+H98*I98*AH92+K98*L98*AH93</f>
        <v>1865.4637998257274</v>
      </c>
      <c r="O98" s="1" t="s">
        <v>29</v>
      </c>
      <c r="P98" s="1">
        <f>2*(F83*(J81*K81+L81)+H83)</f>
        <v>28200</v>
      </c>
      <c r="Q98" s="1">
        <f t="shared" si="10"/>
        <v>0.47316139303387217</v>
      </c>
      <c r="R98" s="1">
        <f t="shared" si="11"/>
        <v>16676.573297478826</v>
      </c>
    </row>
    <row r="99" spans="1:20" ht="24.75" x14ac:dyDescent="0.25">
      <c r="A99" s="1"/>
      <c r="B99" s="1"/>
      <c r="C99" s="1"/>
      <c r="D99" s="1"/>
      <c r="E99" s="1"/>
      <c r="F99" s="1"/>
      <c r="G99" s="62" t="s">
        <v>52</v>
      </c>
      <c r="H99" s="1">
        <f>AB90*AB91*AB92</f>
        <v>0.99865794026694843</v>
      </c>
      <c r="I99" s="63">
        <f>AC92-F92</f>
        <v>79.666666666666657</v>
      </c>
      <c r="J99" s="62" t="s">
        <v>56</v>
      </c>
      <c r="K99" s="1">
        <f>AA90*AB91*AB92*AB93+AA91*AB90*AB92*AB93+AA92*AB90*AB91*AB93+AA93*AB90*AB91*AB92</f>
        <v>4.0812223473664635E-3</v>
      </c>
      <c r="L99" s="1">
        <f>AC93+1*L83-F93</f>
        <v>135.33333333333331</v>
      </c>
      <c r="M99" s="1">
        <f>B99*C99*AH90+E99*F99*AH91+H99*I99*AH92+K99*L99*AH93</f>
        <v>8798.5200776085621</v>
      </c>
      <c r="O99" s="1" t="s">
        <v>30</v>
      </c>
      <c r="P99" s="1">
        <f>2*H84</f>
        <v>8640</v>
      </c>
      <c r="Q99" s="1">
        <f t="shared" si="10"/>
        <v>0.47169570328004923</v>
      </c>
      <c r="R99" s="1">
        <f t="shared" si="11"/>
        <v>16624.915062105334</v>
      </c>
    </row>
    <row r="100" spans="1:20" ht="30" x14ac:dyDescent="0.25">
      <c r="I100" s="84"/>
      <c r="J100" s="62" t="s">
        <v>52</v>
      </c>
      <c r="K100" s="85">
        <f>AB90*AB91*AB92*AB93</f>
        <v>0.99591464145411113</v>
      </c>
      <c r="L100" s="1">
        <f>AC93+0*L83-F93</f>
        <v>123.33333333333331</v>
      </c>
      <c r="M100" s="1">
        <f>B100*C100*AH90+E100*F100*AH91+H100*I100*AH92+K100*L100*AH93</f>
        <v>10440.505157910597</v>
      </c>
      <c r="O100" s="64" t="s">
        <v>65</v>
      </c>
      <c r="P100" s="65">
        <f>SUM(P96:P99)</f>
        <v>45920</v>
      </c>
      <c r="Q100" s="96" t="s">
        <v>108</v>
      </c>
      <c r="R100" s="97">
        <f>SUM(R96:R99)</f>
        <v>54600.464642109626</v>
      </c>
    </row>
    <row r="101" spans="1:20" x14ac:dyDescent="0.25">
      <c r="L101" s="176" t="s">
        <v>63</v>
      </c>
      <c r="M101" s="177">
        <f>SUM(M96:M100)</f>
        <v>21106.08211802243</v>
      </c>
    </row>
    <row r="102" spans="1:20" x14ac:dyDescent="0.25">
      <c r="L102" s="176"/>
      <c r="M102" s="177"/>
    </row>
    <row r="103" spans="1:20" x14ac:dyDescent="0.25">
      <c r="A103" s="178" t="s">
        <v>90</v>
      </c>
      <c r="B103" s="178"/>
      <c r="C103" s="178"/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</row>
    <row r="104" spans="1:20" ht="15.75" x14ac:dyDescent="0.25">
      <c r="A104" s="87" t="s">
        <v>76</v>
      </c>
      <c r="B104" s="62" t="s">
        <v>49</v>
      </c>
      <c r="C104" s="90" t="s">
        <v>102</v>
      </c>
      <c r="D104" s="62" t="s">
        <v>88</v>
      </c>
      <c r="E104" s="87" t="s">
        <v>75</v>
      </c>
      <c r="F104" s="62" t="s">
        <v>57</v>
      </c>
      <c r="G104" s="90" t="s">
        <v>87</v>
      </c>
      <c r="H104" s="62" t="s">
        <v>88</v>
      </c>
      <c r="I104" s="87" t="s">
        <v>77</v>
      </c>
      <c r="J104" s="62" t="s">
        <v>61</v>
      </c>
      <c r="K104" s="90" t="s">
        <v>78</v>
      </c>
      <c r="L104" s="62" t="s">
        <v>88</v>
      </c>
      <c r="M104" s="87" t="s">
        <v>86</v>
      </c>
      <c r="N104" s="62" t="s">
        <v>84</v>
      </c>
      <c r="O104" s="90" t="s">
        <v>103</v>
      </c>
      <c r="P104" s="62" t="s">
        <v>88</v>
      </c>
    </row>
    <row r="105" spans="1:20" ht="24.75" x14ac:dyDescent="0.25">
      <c r="A105" s="62" t="s">
        <v>51</v>
      </c>
      <c r="B105" s="86">
        <v>3.9101438569080559E-7</v>
      </c>
      <c r="C105" s="86">
        <f>AC90+1*L83</f>
        <v>57.666666666666664</v>
      </c>
      <c r="D105" s="86">
        <f>MAX(B105*1.5*((C105-F90)*500/2),0)</f>
        <v>0</v>
      </c>
      <c r="E105" s="62" t="s">
        <v>55</v>
      </c>
      <c r="F105" s="86">
        <v>2.6443592026242004E-10</v>
      </c>
      <c r="G105" s="86">
        <f>AC91+2*L83</f>
        <v>146.66666666666666</v>
      </c>
      <c r="H105" s="86">
        <f>F105*1.5*((G105-F91)*500/2+(G105-F92)*500 + (G105-F93)*500)</f>
        <v>1.6395027056270037E-5</v>
      </c>
      <c r="I105" s="62" t="s">
        <v>59</v>
      </c>
      <c r="J105" s="86">
        <v>1.7607140959260861E-13</v>
      </c>
      <c r="K105" s="86">
        <f>AC92+3*L83</f>
        <v>221.66666666666666</v>
      </c>
      <c r="L105" s="86">
        <f>J105*1.5*((K105-G105)*500/2+(K105-G105)*500)</f>
        <v>1.485602518437635E-8</v>
      </c>
      <c r="M105" s="62" t="s">
        <v>83</v>
      </c>
      <c r="N105" s="86">
        <v>4.8366559703202349E-16</v>
      </c>
      <c r="O105" s="86">
        <f>AC93+4*L83</f>
        <v>311.33333333333331</v>
      </c>
      <c r="P105" s="86">
        <f>N105*1.5*((O105-K105)*500/2)</f>
        <v>1.626325570020179E-11</v>
      </c>
    </row>
    <row r="106" spans="1:20" ht="24.75" x14ac:dyDescent="0.25">
      <c r="A106" s="62" t="s">
        <v>52</v>
      </c>
      <c r="B106" s="86">
        <v>0.99999960898561435</v>
      </c>
      <c r="C106" s="88">
        <f>AC90</f>
        <v>45.666666666666664</v>
      </c>
      <c r="D106" s="86">
        <f>MAX(B106*1.5*((C106-F90)*500/2),0)</f>
        <v>0</v>
      </c>
      <c r="E106" s="62" t="s">
        <v>56</v>
      </c>
      <c r="F106" s="86">
        <v>6.7667230515902979E-4</v>
      </c>
      <c r="G106" s="86">
        <f>AC91+1*L83</f>
        <v>134.66666666666666</v>
      </c>
      <c r="H106" s="86">
        <f>F106*1.5*((G106-F91)*500/2+(G106-F92)*500)</f>
        <v>29.435245274417792</v>
      </c>
      <c r="I106" s="62" t="s">
        <v>60</v>
      </c>
      <c r="J106" s="86">
        <v>4.5081820306275424E-7</v>
      </c>
      <c r="K106" s="86">
        <f>AC92+2*L83</f>
        <v>209.66666666666666</v>
      </c>
      <c r="L106" s="86">
        <f>J106*1.5*((K106-G106)*500/2+(K106-F93)*500)</f>
        <v>3.6234513071168872E-2</v>
      </c>
      <c r="M106" s="62" t="s">
        <v>59</v>
      </c>
      <c r="N106" s="86">
        <v>1.2371260059679319E-9</v>
      </c>
      <c r="O106" s="86">
        <f>AC93+3*L83</f>
        <v>299.33333333333331</v>
      </c>
      <c r="P106" s="86">
        <f>N106*1.5*((O106-K106)*500/2)</f>
        <v>4.1598361950671702E-5</v>
      </c>
    </row>
    <row r="107" spans="1:20" x14ac:dyDescent="0.25">
      <c r="A107" s="86"/>
      <c r="B107" s="86"/>
      <c r="C107" s="89" t="s">
        <v>89</v>
      </c>
      <c r="D107" s="89">
        <f>SUM(D105:D106)</f>
        <v>0</v>
      </c>
      <c r="E107" s="62" t="s">
        <v>52</v>
      </c>
      <c r="F107" s="86">
        <v>0.99932332743040508</v>
      </c>
      <c r="G107" s="86">
        <f>AC91+0*L83</f>
        <v>122.66666666666666</v>
      </c>
      <c r="H107" s="86">
        <f>F107*1.5*((G107-F91)*500/2+(G107-F92)*500)</f>
        <v>29979.699822912142</v>
      </c>
      <c r="I107" s="62" t="s">
        <v>56</v>
      </c>
      <c r="J107" s="86">
        <v>8.4017921974209999E-7</v>
      </c>
      <c r="K107" s="86">
        <f>AC92+1*L83</f>
        <v>197.66666666666666</v>
      </c>
      <c r="L107" s="86">
        <f>J107*1.5*((K107-G107)*500/2+(K107-F93)*500)</f>
        <v>5.9967791809092376E-2</v>
      </c>
      <c r="M107" s="62" t="s">
        <v>60</v>
      </c>
      <c r="N107" s="86">
        <v>4.1349599552306368E-6</v>
      </c>
      <c r="O107" s="86">
        <f>AC93+2*L83</f>
        <v>287.33333333333331</v>
      </c>
      <c r="P107" s="86">
        <f>N107*1.5*((O107-K107)*500/2)</f>
        <v>0.13903802849463015</v>
      </c>
    </row>
    <row r="108" spans="1:20" x14ac:dyDescent="0.25">
      <c r="A108" s="86"/>
      <c r="B108" s="86"/>
      <c r="C108" s="86"/>
      <c r="D108" s="86"/>
      <c r="E108" s="86"/>
      <c r="F108" s="86"/>
      <c r="G108" s="89" t="s">
        <v>79</v>
      </c>
      <c r="H108" s="89">
        <f>SUM(H105:H107)</f>
        <v>30009.135084581587</v>
      </c>
      <c r="I108" s="62" t="s">
        <v>52</v>
      </c>
      <c r="J108" s="86">
        <v>0.99865794026694843</v>
      </c>
      <c r="K108" s="86">
        <f>AC92+0*L83</f>
        <v>185.66666666666666</v>
      </c>
      <c r="L108" s="86">
        <f>J108*1.5*((K108-G107)*500/2+(K108-F93)*500)</f>
        <v>57797.328292949634</v>
      </c>
      <c r="M108" s="62" t="s">
        <v>56</v>
      </c>
      <c r="N108" s="86">
        <v>4.0812223473664635E-3</v>
      </c>
      <c r="O108" s="86">
        <f>AC93+1*L83</f>
        <v>275.33333333333331</v>
      </c>
      <c r="P108" s="86">
        <f>N108*1.5*((O108-K108)*500/2)</f>
        <v>137.2311014301973</v>
      </c>
    </row>
    <row r="109" spans="1:20" x14ac:dyDescent="0.25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9" t="s">
        <v>79</v>
      </c>
      <c r="L109" s="89">
        <f>SUM(L105:L108)</f>
        <v>57797.42449526937</v>
      </c>
      <c r="M109" s="62" t="s">
        <v>52</v>
      </c>
      <c r="N109" s="86">
        <v>0.99591464145411113</v>
      </c>
      <c r="O109" s="86">
        <f>AC93+0*L83</f>
        <v>263.33333333333331</v>
      </c>
      <c r="P109" s="86">
        <f>N109*1.5*((O109-K108)*500/2)</f>
        <v>29006.013932350983</v>
      </c>
      <c r="Q109" s="179" t="s">
        <v>80</v>
      </c>
      <c r="R109" s="179"/>
      <c r="S109" s="180">
        <f>D107+H108+L109+P110</f>
        <v>116949.94369325902</v>
      </c>
      <c r="T109" s="180"/>
    </row>
    <row r="110" spans="1:20" x14ac:dyDescent="0.25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9" t="s">
        <v>79</v>
      </c>
      <c r="P110" s="89">
        <f>SUM(P105:P109)</f>
        <v>29143.384113408054</v>
      </c>
      <c r="Q110" s="179"/>
      <c r="R110" s="179"/>
      <c r="S110" s="180"/>
      <c r="T110" s="180"/>
    </row>
    <row r="111" spans="1:20" x14ac:dyDescent="0.25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</row>
    <row r="112" spans="1:20" x14ac:dyDescent="0.25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</row>
    <row r="113" spans="1:34" x14ac:dyDescent="0.25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</row>
    <row r="114" spans="1:34" ht="24.75" thickBot="1" x14ac:dyDescent="0.3">
      <c r="O114" s="131" t="s">
        <v>81</v>
      </c>
      <c r="P114" s="131"/>
      <c r="Q114" s="131">
        <f>(R100+P100+M101+S109)/AC93</f>
        <v>905.98667260781428</v>
      </c>
      <c r="R114" s="131"/>
    </row>
    <row r="115" spans="1:34" x14ac:dyDescent="0.25">
      <c r="A115" s="181" t="s">
        <v>92</v>
      </c>
      <c r="B115" s="182"/>
    </row>
    <row r="116" spans="1:34" ht="15.75" thickBot="1" x14ac:dyDescent="0.3">
      <c r="A116" s="183"/>
      <c r="B116" s="184"/>
    </row>
    <row r="117" spans="1:34" ht="21" x14ac:dyDescent="0.35">
      <c r="A117" s="185" t="s">
        <v>14</v>
      </c>
      <c r="B117" s="18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65"/>
      <c r="O117" s="166" t="s">
        <v>72</v>
      </c>
      <c r="P117" s="166"/>
      <c r="Q117" s="166"/>
      <c r="R117" s="166"/>
      <c r="S117" s="166"/>
      <c r="T117" s="166"/>
      <c r="U117" s="166"/>
      <c r="V117" s="166"/>
    </row>
    <row r="118" spans="1:34" ht="36" x14ac:dyDescent="0.25">
      <c r="A118" s="4" t="s">
        <v>15</v>
      </c>
      <c r="B118" s="4" t="s">
        <v>16</v>
      </c>
      <c r="C118" s="4" t="s">
        <v>31</v>
      </c>
      <c r="D118" s="6" t="s">
        <v>17</v>
      </c>
      <c r="E118" s="6" t="s">
        <v>18</v>
      </c>
      <c r="F118" s="6" t="s">
        <v>19</v>
      </c>
      <c r="G118" s="6" t="s">
        <v>20</v>
      </c>
      <c r="H118" s="6" t="s">
        <v>21</v>
      </c>
      <c r="I118" s="6" t="s">
        <v>22</v>
      </c>
      <c r="J118" s="6" t="s">
        <v>23</v>
      </c>
      <c r="K118" s="6" t="s">
        <v>24</v>
      </c>
      <c r="L118" s="6" t="s">
        <v>25</v>
      </c>
      <c r="M118" s="6" t="s">
        <v>26</v>
      </c>
      <c r="N118" s="8"/>
      <c r="O118" s="167" t="s">
        <v>32</v>
      </c>
      <c r="P118" s="167" t="s">
        <v>35</v>
      </c>
      <c r="Q118" s="167" t="s">
        <v>66</v>
      </c>
      <c r="R118" s="99" t="s">
        <v>67</v>
      </c>
      <c r="S118" s="99" t="s">
        <v>68</v>
      </c>
      <c r="T118" s="167" t="s">
        <v>69</v>
      </c>
      <c r="U118" s="71" t="s">
        <v>33</v>
      </c>
      <c r="V118" s="99" t="s">
        <v>70</v>
      </c>
    </row>
    <row r="119" spans="1:34" x14ac:dyDescent="0.25">
      <c r="A119" s="3" t="s">
        <v>27</v>
      </c>
      <c r="B119" s="3">
        <v>0</v>
      </c>
      <c r="C119" s="3">
        <v>0.3</v>
      </c>
      <c r="D119" s="3">
        <v>243</v>
      </c>
      <c r="E119" s="3">
        <v>1.73</v>
      </c>
      <c r="F119" s="3">
        <v>5</v>
      </c>
      <c r="G119" s="169">
        <v>12</v>
      </c>
      <c r="H119" s="3">
        <v>1820</v>
      </c>
      <c r="I119" s="169">
        <v>19645</v>
      </c>
      <c r="J119" s="3">
        <v>20</v>
      </c>
      <c r="K119" s="3">
        <v>40</v>
      </c>
      <c r="L119" s="3">
        <v>500</v>
      </c>
      <c r="M119" s="3">
        <v>1000</v>
      </c>
      <c r="O119" s="168"/>
      <c r="P119" s="168"/>
      <c r="Q119" s="168"/>
      <c r="R119" s="72" t="s">
        <v>71</v>
      </c>
      <c r="S119" s="72" t="s">
        <v>71</v>
      </c>
      <c r="T119" s="168"/>
      <c r="U119" s="73">
        <v>500</v>
      </c>
      <c r="V119" s="3">
        <v>1.5</v>
      </c>
    </row>
    <row r="120" spans="1:34" x14ac:dyDescent="0.25">
      <c r="A120" s="3" t="s">
        <v>28</v>
      </c>
      <c r="B120" s="3">
        <v>0</v>
      </c>
      <c r="C120" s="3">
        <v>0.3</v>
      </c>
      <c r="D120" s="3">
        <v>254</v>
      </c>
      <c r="E120" s="3">
        <v>1.88</v>
      </c>
      <c r="F120" s="3">
        <v>3</v>
      </c>
      <c r="G120" s="170"/>
      <c r="H120" s="3">
        <v>2720</v>
      </c>
      <c r="I120" s="170"/>
      <c r="J120" s="5"/>
      <c r="K120" s="5"/>
      <c r="L120" s="5"/>
      <c r="M120" s="5"/>
      <c r="O120" s="74">
        <v>1</v>
      </c>
      <c r="P120" s="74">
        <v>106</v>
      </c>
      <c r="Q120" s="74">
        <v>110</v>
      </c>
      <c r="R120" s="74">
        <v>6</v>
      </c>
      <c r="S120" s="74">
        <v>5</v>
      </c>
      <c r="T120" s="74">
        <f>R120*$U$5/60+S120</f>
        <v>55</v>
      </c>
      <c r="U120" s="75"/>
    </row>
    <row r="121" spans="1:34" x14ac:dyDescent="0.25">
      <c r="A121" s="3" t="s">
        <v>29</v>
      </c>
      <c r="B121" s="3">
        <v>0</v>
      </c>
      <c r="C121" s="3">
        <v>0.3</v>
      </c>
      <c r="D121" s="3">
        <v>143</v>
      </c>
      <c r="E121" s="3">
        <v>2.4300000000000002</v>
      </c>
      <c r="F121" s="3">
        <v>8</v>
      </c>
      <c r="G121" s="170"/>
      <c r="H121" s="3">
        <v>3700</v>
      </c>
      <c r="I121" s="170"/>
      <c r="J121" s="5"/>
      <c r="K121" s="140" t="s">
        <v>73</v>
      </c>
      <c r="L121" s="141">
        <v>12</v>
      </c>
      <c r="M121" s="140" t="s">
        <v>74</v>
      </c>
      <c r="N121" s="141">
        <v>19645</v>
      </c>
      <c r="O121" s="74">
        <v>2</v>
      </c>
      <c r="P121" s="74">
        <v>76</v>
      </c>
      <c r="Q121" s="74">
        <v>40</v>
      </c>
      <c r="R121" s="74">
        <v>9</v>
      </c>
      <c r="S121" s="74">
        <v>2</v>
      </c>
      <c r="T121" s="74">
        <f t="shared" ref="T121:T123" si="12">R121*$U$5/60+S121</f>
        <v>77</v>
      </c>
      <c r="U121" s="75"/>
    </row>
    <row r="122" spans="1:34" x14ac:dyDescent="0.25">
      <c r="A122" s="3" t="s">
        <v>30</v>
      </c>
      <c r="B122" s="3">
        <v>0</v>
      </c>
      <c r="C122" s="3">
        <v>0.3</v>
      </c>
      <c r="D122" s="3">
        <v>449</v>
      </c>
      <c r="E122" s="3">
        <v>2.5299999999999998</v>
      </c>
      <c r="F122" s="3">
        <v>4</v>
      </c>
      <c r="G122" s="171"/>
      <c r="H122" s="3">
        <v>4320</v>
      </c>
      <c r="I122" s="171"/>
      <c r="J122" s="5"/>
      <c r="K122" s="140"/>
      <c r="L122" s="141"/>
      <c r="M122" s="140"/>
      <c r="N122" s="141"/>
      <c r="O122" s="74">
        <v>3</v>
      </c>
      <c r="P122" s="74">
        <v>95</v>
      </c>
      <c r="Q122" s="74">
        <v>67</v>
      </c>
      <c r="R122" s="74">
        <v>5</v>
      </c>
      <c r="S122" s="74">
        <v>4</v>
      </c>
      <c r="T122" s="74">
        <f t="shared" si="12"/>
        <v>45.666666666666664</v>
      </c>
      <c r="U122" s="75"/>
    </row>
    <row r="123" spans="1:34" ht="15.75" thickBo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O123" s="74">
        <v>4</v>
      </c>
      <c r="P123" s="74">
        <v>140</v>
      </c>
      <c r="Q123" s="94">
        <v>85</v>
      </c>
      <c r="R123" s="94">
        <v>8</v>
      </c>
      <c r="S123" s="94">
        <v>3</v>
      </c>
      <c r="T123" s="74">
        <f t="shared" si="12"/>
        <v>69.666666666666671</v>
      </c>
    </row>
    <row r="124" spans="1:34" ht="15" customHeight="1" x14ac:dyDescent="0.25">
      <c r="A124" s="142" t="s">
        <v>100</v>
      </c>
      <c r="B124" s="144" t="s">
        <v>129</v>
      </c>
      <c r="C124" s="144"/>
      <c r="D124" s="144"/>
      <c r="E124" s="144"/>
      <c r="F124" s="20" t="s">
        <v>27</v>
      </c>
      <c r="G124" s="20" t="s">
        <v>28</v>
      </c>
      <c r="H124" s="20" t="s">
        <v>29</v>
      </c>
      <c r="I124" s="20" t="s">
        <v>30</v>
      </c>
    </row>
    <row r="125" spans="1:34" ht="15.75" customHeight="1" thickBot="1" x14ac:dyDescent="0.3">
      <c r="A125" s="143"/>
      <c r="B125" s="145"/>
      <c r="C125" s="145"/>
      <c r="D125" s="145"/>
      <c r="E125" s="145"/>
      <c r="F125" s="20">
        <v>91</v>
      </c>
      <c r="G125" s="26">
        <v>91</v>
      </c>
      <c r="H125" s="26">
        <v>91</v>
      </c>
      <c r="I125" s="26">
        <v>91</v>
      </c>
    </row>
    <row r="126" spans="1:34" ht="15.75" customHeight="1" thickBot="1" x14ac:dyDescent="0.3">
      <c r="A126" s="143"/>
      <c r="B126" s="145"/>
      <c r="C126" s="145"/>
      <c r="D126" s="145"/>
      <c r="E126" s="145"/>
      <c r="F126" s="7"/>
      <c r="G126" s="146" t="s">
        <v>27</v>
      </c>
      <c r="H126" s="147"/>
      <c r="I126" s="147"/>
      <c r="J126" s="147"/>
      <c r="K126" s="148"/>
      <c r="L126" s="149" t="s">
        <v>28</v>
      </c>
      <c r="M126" s="150"/>
      <c r="N126" s="150"/>
      <c r="O126" s="150"/>
      <c r="P126" s="151"/>
      <c r="Q126" s="152" t="s">
        <v>29</v>
      </c>
      <c r="R126" s="153"/>
      <c r="S126" s="153"/>
      <c r="T126" s="153"/>
      <c r="U126" s="154"/>
      <c r="V126" s="155" t="s">
        <v>30</v>
      </c>
      <c r="W126" s="156"/>
      <c r="X126" s="156"/>
      <c r="Y126" s="156"/>
      <c r="Z126" s="157"/>
      <c r="AA126" s="158" t="s">
        <v>42</v>
      </c>
      <c r="AB126" s="159"/>
      <c r="AC126" s="160" t="s">
        <v>44</v>
      </c>
      <c r="AD126" s="162" t="s">
        <v>47</v>
      </c>
      <c r="AE126" s="163"/>
      <c r="AF126" s="163"/>
      <c r="AG126" s="164"/>
      <c r="AH126" s="138" t="s">
        <v>62</v>
      </c>
    </row>
    <row r="127" spans="1:34" ht="36.75" x14ac:dyDescent="0.25">
      <c r="A127" s="21" t="s">
        <v>32</v>
      </c>
      <c r="B127" s="22" t="s">
        <v>37</v>
      </c>
      <c r="C127" s="23" t="s">
        <v>33</v>
      </c>
      <c r="D127" s="22" t="s">
        <v>38</v>
      </c>
      <c r="E127" s="22" t="s">
        <v>34</v>
      </c>
      <c r="F127" s="25" t="s">
        <v>35</v>
      </c>
      <c r="G127" s="27" t="s">
        <v>39</v>
      </c>
      <c r="H127" s="10" t="s">
        <v>40</v>
      </c>
      <c r="I127" s="10" t="s">
        <v>45</v>
      </c>
      <c r="J127" s="10" t="s">
        <v>46</v>
      </c>
      <c r="K127" s="28" t="s">
        <v>41</v>
      </c>
      <c r="L127" s="30" t="s">
        <v>39</v>
      </c>
      <c r="M127" s="13" t="s">
        <v>40</v>
      </c>
      <c r="N127" s="13" t="s">
        <v>45</v>
      </c>
      <c r="O127" s="13" t="s">
        <v>46</v>
      </c>
      <c r="P127" s="31" t="s">
        <v>41</v>
      </c>
      <c r="Q127" s="33" t="s">
        <v>39</v>
      </c>
      <c r="R127" s="12" t="s">
        <v>40</v>
      </c>
      <c r="S127" s="12" t="s">
        <v>45</v>
      </c>
      <c r="T127" s="12" t="s">
        <v>46</v>
      </c>
      <c r="U127" s="34" t="s">
        <v>41</v>
      </c>
      <c r="V127" s="36" t="s">
        <v>39</v>
      </c>
      <c r="W127" s="11" t="s">
        <v>40</v>
      </c>
      <c r="X127" s="11" t="s">
        <v>45</v>
      </c>
      <c r="Y127" s="11" t="s">
        <v>46</v>
      </c>
      <c r="Z127" s="37" t="s">
        <v>41</v>
      </c>
      <c r="AA127" s="39" t="s">
        <v>41</v>
      </c>
      <c r="AB127" s="40" t="s">
        <v>43</v>
      </c>
      <c r="AC127" s="161"/>
      <c r="AD127" s="43" t="s">
        <v>27</v>
      </c>
      <c r="AE127" s="1" t="s">
        <v>28</v>
      </c>
      <c r="AF127" s="1" t="s">
        <v>29</v>
      </c>
      <c r="AG127" s="1" t="s">
        <v>30</v>
      </c>
      <c r="AH127" s="139"/>
    </row>
    <row r="128" spans="1:34" x14ac:dyDescent="0.25">
      <c r="A128" s="24">
        <v>3</v>
      </c>
      <c r="B128" s="9">
        <v>5</v>
      </c>
      <c r="C128" s="9">
        <v>500</v>
      </c>
      <c r="D128" s="9">
        <v>4</v>
      </c>
      <c r="E128" s="48">
        <f>B128*C128/60+D128</f>
        <v>45.666666666666664</v>
      </c>
      <c r="F128" s="14">
        <v>95</v>
      </c>
      <c r="G128" s="49">
        <f>B$5*(1-AD128*C$5)</f>
        <v>0</v>
      </c>
      <c r="H128" s="50">
        <f>G128+E128</f>
        <v>45.666666666666664</v>
      </c>
      <c r="I128" s="15">
        <f>(H128/D$5)^E$5</f>
        <v>5.5463587496332782E-2</v>
      </c>
      <c r="J128" s="15">
        <f>(G128/D$5)^E$5</f>
        <v>0</v>
      </c>
      <c r="K128" s="29">
        <f>1-EXP(J128-I128)</f>
        <v>5.3953529036131931E-2</v>
      </c>
      <c r="L128" s="51">
        <f>B$6*(1-AE128*C$6)</f>
        <v>0</v>
      </c>
      <c r="M128" s="52">
        <f>L128+E128</f>
        <v>45.666666666666664</v>
      </c>
      <c r="N128" s="17">
        <f>(M128/D$6)^E$6</f>
        <v>3.9715434673642101E-2</v>
      </c>
      <c r="O128" s="17">
        <f>(L128/D$6)^E$6</f>
        <v>0</v>
      </c>
      <c r="P128" s="32">
        <f>1-EXP(O128-N128)</f>
        <v>3.8937114582545562E-2</v>
      </c>
      <c r="Q128" s="53">
        <f>B$7*(1-AF128*C$7)</f>
        <v>0</v>
      </c>
      <c r="R128" s="54">
        <f>Q128+E128</f>
        <v>45.666666666666664</v>
      </c>
      <c r="S128" s="16">
        <f>(R128/D$7)^E$7</f>
        <v>6.2425173515745024E-2</v>
      </c>
      <c r="T128" s="16">
        <f>(Q128/D$7)^E$7</f>
        <v>0</v>
      </c>
      <c r="U128" s="35">
        <f>1-EXP(T128-S128)</f>
        <v>6.0516641579816954E-2</v>
      </c>
      <c r="V128" s="55">
        <f>B$8*(1-AG128*C$8)</f>
        <v>0</v>
      </c>
      <c r="W128" s="56">
        <f>V128+E128</f>
        <v>45.666666666666664</v>
      </c>
      <c r="X128" s="18">
        <f>(W128/D$8)^E$8</f>
        <v>3.0803709406480337E-3</v>
      </c>
      <c r="Y128" s="18">
        <f>(V128/D$8)^E$8</f>
        <v>0</v>
      </c>
      <c r="Z128" s="38">
        <f>1-EXP(Y128-X128)</f>
        <v>3.0756314657778283E-3</v>
      </c>
      <c r="AA128" s="41">
        <f>K128*P128*U128*Z128</f>
        <v>3.9101438569080559E-7</v>
      </c>
      <c r="AB128" s="42">
        <f>1-AA128</f>
        <v>0.99999960898561435</v>
      </c>
      <c r="AC128" s="47">
        <f>(AD128*F$5+AE128*F$6+AF128*F$7+AG128*F$8)+E128</f>
        <v>45.666666666666664</v>
      </c>
      <c r="AD128" s="43">
        <v>0</v>
      </c>
      <c r="AE128" s="1">
        <v>0</v>
      </c>
      <c r="AF128" s="1">
        <v>0</v>
      </c>
      <c r="AG128" s="1">
        <v>0</v>
      </c>
      <c r="AH128" s="44">
        <v>67</v>
      </c>
    </row>
    <row r="129" spans="1:34" x14ac:dyDescent="0.25">
      <c r="A129" s="24">
        <v>2</v>
      </c>
      <c r="B129" s="9">
        <v>9</v>
      </c>
      <c r="C129" s="9">
        <v>500</v>
      </c>
      <c r="D129" s="9">
        <v>2</v>
      </c>
      <c r="E129" s="9">
        <f t="shared" ref="E129:E131" si="13">B129*C129/60+D129</f>
        <v>77</v>
      </c>
      <c r="F129" s="14">
        <v>76</v>
      </c>
      <c r="G129" s="49">
        <f>H128*(1-AD129*C$5)</f>
        <v>45.666666666666664</v>
      </c>
      <c r="H129" s="50">
        <f>G129+E129</f>
        <v>122.66666666666666</v>
      </c>
      <c r="I129" s="15">
        <f>(H129/D$5)^E$5</f>
        <v>0.30647715135734394</v>
      </c>
      <c r="J129" s="15">
        <f>(G129/D$5)^E$5</f>
        <v>5.5463587496332782E-2</v>
      </c>
      <c r="K129" s="29">
        <f>1-EXP(J129-I129)</f>
        <v>0.22198818135678478</v>
      </c>
      <c r="L129" s="51">
        <f>M128*(1-AE129*C$6)</f>
        <v>45.666666666666664</v>
      </c>
      <c r="M129" s="52">
        <f>L129+E129</f>
        <v>122.66666666666666</v>
      </c>
      <c r="N129" s="17">
        <f>(M129/D$6)^E$6</f>
        <v>0.25451802994245737</v>
      </c>
      <c r="O129" s="17">
        <f>(L129/D$6)^E$6</f>
        <v>3.9715434673642101E-2</v>
      </c>
      <c r="P129" s="32">
        <f>1-EXP(O129-N129)</f>
        <v>0.19329932901054481</v>
      </c>
      <c r="Q129" s="53">
        <f>R128*(1-AF129*C$7)</f>
        <v>45.666666666666664</v>
      </c>
      <c r="R129" s="54">
        <f>Q129+E129</f>
        <v>122.66666666666666</v>
      </c>
      <c r="S129" s="16">
        <f>(R129/D$7)^E$7</f>
        <v>0.68887270848465465</v>
      </c>
      <c r="T129" s="16">
        <f>(Q129/D$7)^E$7</f>
        <v>6.2425173515745024E-2</v>
      </c>
      <c r="U129" s="35">
        <f>1-EXP(T129-S129)</f>
        <v>0.46551282060476484</v>
      </c>
      <c r="V129" s="55">
        <f>W128*(1-AG129*C$8)</f>
        <v>45.666666666666664</v>
      </c>
      <c r="W129" s="56">
        <f>V129+E129</f>
        <v>122.66666666666666</v>
      </c>
      <c r="X129" s="18">
        <f>(W129/D$8)^E$8</f>
        <v>3.7522776286050503E-2</v>
      </c>
      <c r="Y129" s="18">
        <f>(V129/D$8)^E$8</f>
        <v>3.0803709406480337E-3</v>
      </c>
      <c r="Z129" s="38">
        <f>1-EXP(Y129-X129)</f>
        <v>3.3856017186915555E-2</v>
      </c>
      <c r="AA129" s="41">
        <f>K129*P129*U129*Z129</f>
        <v>6.7628181964517946E-4</v>
      </c>
      <c r="AB129" s="42">
        <f>1-AA129</f>
        <v>0.99932371818035481</v>
      </c>
      <c r="AC129" s="47">
        <f>AF129*F$7+E129+AC128</f>
        <v>122.66666666666666</v>
      </c>
      <c r="AD129" s="43">
        <v>0</v>
      </c>
      <c r="AE129" s="1">
        <v>0</v>
      </c>
      <c r="AF129" s="1">
        <v>0</v>
      </c>
      <c r="AG129" s="1">
        <v>0</v>
      </c>
      <c r="AH129" s="44">
        <v>40</v>
      </c>
    </row>
    <row r="130" spans="1:34" x14ac:dyDescent="0.25">
      <c r="A130" s="57">
        <v>4</v>
      </c>
      <c r="B130" s="58">
        <v>8</v>
      </c>
      <c r="C130" s="58">
        <v>500</v>
      </c>
      <c r="D130" s="58">
        <v>3</v>
      </c>
      <c r="E130" s="66">
        <f t="shared" si="13"/>
        <v>69.666666666666671</v>
      </c>
      <c r="F130" s="67">
        <v>140</v>
      </c>
      <c r="G130" s="68">
        <f>H129*(1-AD130*C$5)</f>
        <v>85.86666666666666</v>
      </c>
      <c r="H130" s="69">
        <f>G130+E130</f>
        <v>155.53333333333333</v>
      </c>
      <c r="I130" s="70">
        <f>(H130/D$5)^E$5</f>
        <v>0.46212106614830967</v>
      </c>
      <c r="J130" s="70">
        <f>(G130/D$5)^E$5</f>
        <v>0.16535514464725598</v>
      </c>
      <c r="K130" s="29">
        <f>1-EXP(J130-I130)</f>
        <v>0.25678203665269694</v>
      </c>
      <c r="L130" s="51">
        <f>M129*(1-AE130*C$6)</f>
        <v>85.86666666666666</v>
      </c>
      <c r="M130" s="52">
        <f>L130+E130</f>
        <v>155.53333333333333</v>
      </c>
      <c r="N130" s="17">
        <f>(M130/D$6)^E$6</f>
        <v>0.39768641404513894</v>
      </c>
      <c r="O130" s="17">
        <f>(L130/D$6)^E$6</f>
        <v>0.13016759122196553</v>
      </c>
      <c r="P130" s="32">
        <f>1-EXP(O130-N130)</f>
        <v>0.23472407416617413</v>
      </c>
      <c r="Q130" s="53">
        <f>R129*(1-AF130*C$7)</f>
        <v>85.86666666666666</v>
      </c>
      <c r="R130" s="54">
        <f>Q130+E130</f>
        <v>155.53333333333333</v>
      </c>
      <c r="S130" s="16">
        <f>(R130/D$7)^E$7</f>
        <v>1.2264913361397396</v>
      </c>
      <c r="T130" s="16">
        <f>(Q130/D$7)^E$7</f>
        <v>0.28955243173642403</v>
      </c>
      <c r="U130" s="35">
        <f>1-EXP(T130-S130)</f>
        <v>0.60817458347464404</v>
      </c>
      <c r="V130" s="55">
        <f>W129*(1-AG130*C$8)</f>
        <v>85.86666666666666</v>
      </c>
      <c r="W130" s="56">
        <f>V130+E130</f>
        <v>155.53333333333333</v>
      </c>
      <c r="X130" s="18">
        <f>(W130/D$8)^E$8</f>
        <v>6.8411665095511928E-2</v>
      </c>
      <c r="Y130" s="18">
        <f>(V130/D$8)^E$8</f>
        <v>1.5219241387637328E-2</v>
      </c>
      <c r="Z130" s="38">
        <f>1-EXP(Y130-X130)</f>
        <v>5.1802460759525881E-2</v>
      </c>
      <c r="AA130" s="41">
        <f>K130*P130*U130*Z130</f>
        <v>1.8988949111734255E-3</v>
      </c>
      <c r="AB130" s="42">
        <f>1-AA130</f>
        <v>0.99810110508882655</v>
      </c>
      <c r="AC130" s="47">
        <f>(AF130*F$7)+E130+AC129</f>
        <v>200.33333333333331</v>
      </c>
      <c r="AD130" s="77">
        <v>1</v>
      </c>
      <c r="AE130" s="78">
        <v>1</v>
      </c>
      <c r="AF130" s="78">
        <v>1</v>
      </c>
      <c r="AG130" s="78">
        <v>1</v>
      </c>
      <c r="AH130" s="79">
        <v>85</v>
      </c>
    </row>
    <row r="131" spans="1:34" ht="15.75" thickBot="1" x14ac:dyDescent="0.3">
      <c r="A131" s="76">
        <v>1</v>
      </c>
      <c r="B131" s="58">
        <v>6</v>
      </c>
      <c r="C131" s="58">
        <v>500</v>
      </c>
      <c r="D131" s="58">
        <v>5</v>
      </c>
      <c r="E131" s="66">
        <f t="shared" si="13"/>
        <v>55</v>
      </c>
      <c r="F131" s="67">
        <v>106</v>
      </c>
      <c r="G131" s="68">
        <f>H130*(1-AD131*C$5)</f>
        <v>108.87333333333332</v>
      </c>
      <c r="H131" s="69">
        <f>G131+E131</f>
        <v>163.87333333333333</v>
      </c>
      <c r="I131" s="70">
        <f>(H131/D$5)^E$5</f>
        <v>0.50582522627678017</v>
      </c>
      <c r="J131" s="70">
        <f>(G131/D$5)^E$5</f>
        <v>0.2493304815679428</v>
      </c>
      <c r="K131" s="29">
        <f>1-EXP(J131-I131)</f>
        <v>0.22624093912205778</v>
      </c>
      <c r="L131" s="51">
        <f>M130*(1-AE131*C$6)</f>
        <v>108.87333333333332</v>
      </c>
      <c r="M131" s="52">
        <f>L131+E131</f>
        <v>163.87333333333333</v>
      </c>
      <c r="N131" s="17">
        <f>(M131/D$6)^E$6</f>
        <v>0.43872076836143109</v>
      </c>
      <c r="O131" s="17">
        <f>(L131/D$6)^E$6</f>
        <v>0.20338788018145684</v>
      </c>
      <c r="P131" s="32">
        <f>1-EXP(O131-N131)</f>
        <v>0.20969227826402548</v>
      </c>
      <c r="Q131" s="53">
        <f>R130*(1-AF131*C$7)</f>
        <v>108.87333333333332</v>
      </c>
      <c r="R131" s="54">
        <f>Q131+E131</f>
        <v>163.87333333333333</v>
      </c>
      <c r="S131" s="16">
        <f>(R131/D$7)^E$7</f>
        <v>1.3924787239161251</v>
      </c>
      <c r="T131" s="16">
        <f>(Q131/D$7)^E$7</f>
        <v>0.5155285504982785</v>
      </c>
      <c r="U131" s="35">
        <f>1-EXP(T131-S131)</f>
        <v>0.58395014136633883</v>
      </c>
      <c r="V131" s="55">
        <f>W130*(1-AG131*C$8)</f>
        <v>108.87333333333332</v>
      </c>
      <c r="W131" s="56">
        <f>V131+E131</f>
        <v>163.87333333333333</v>
      </c>
      <c r="X131" s="18">
        <f>(W131/D$8)^E$8</f>
        <v>7.8076929426689909E-2</v>
      </c>
      <c r="Y131" s="18">
        <f>(V131/D$8)^E$8</f>
        <v>2.7747777426742989E-2</v>
      </c>
      <c r="Z131" s="38">
        <f>1-EXP(Y131-X131)</f>
        <v>4.9083623043829738E-2</v>
      </c>
      <c r="AA131" s="41">
        <f>K131*P131*U131*Z131</f>
        <v>1.3597717466068814E-3</v>
      </c>
      <c r="AB131" s="42">
        <f>1-AA131</f>
        <v>0.99864022825339316</v>
      </c>
      <c r="AC131" s="47">
        <f>(AF131*F$7)+E131+AC130</f>
        <v>263.33333333333331</v>
      </c>
      <c r="AD131" s="80">
        <v>1</v>
      </c>
      <c r="AE131" s="45">
        <v>1</v>
      </c>
      <c r="AF131" s="81">
        <v>1</v>
      </c>
      <c r="AG131" s="45">
        <v>1</v>
      </c>
      <c r="AH131" s="82">
        <v>110</v>
      </c>
    </row>
    <row r="132" spans="1:34" ht="18.75" x14ac:dyDescent="0.3">
      <c r="A132" s="132" t="s">
        <v>53</v>
      </c>
      <c r="B132" s="132"/>
      <c r="C132" s="132"/>
      <c r="D132" s="132"/>
      <c r="E132" s="132"/>
      <c r="F132" s="132"/>
      <c r="G132" s="132"/>
      <c r="H132" s="132"/>
      <c r="I132" s="132"/>
      <c r="J132" s="132"/>
      <c r="AG132" s="46"/>
    </row>
    <row r="133" spans="1:34" ht="15.75" x14ac:dyDescent="0.25">
      <c r="A133" s="19" t="s">
        <v>54</v>
      </c>
      <c r="B133" s="60" t="s">
        <v>49</v>
      </c>
      <c r="C133" s="61" t="s">
        <v>50</v>
      </c>
      <c r="D133" s="19" t="s">
        <v>48</v>
      </c>
      <c r="E133" s="60" t="s">
        <v>57</v>
      </c>
      <c r="F133" s="61" t="s">
        <v>50</v>
      </c>
      <c r="G133" s="19" t="s">
        <v>82</v>
      </c>
      <c r="H133" s="60" t="s">
        <v>61</v>
      </c>
      <c r="I133" s="61" t="s">
        <v>50</v>
      </c>
      <c r="J133" s="19" t="s">
        <v>58</v>
      </c>
      <c r="K133" s="83" t="s">
        <v>84</v>
      </c>
      <c r="L133" s="61" t="s">
        <v>50</v>
      </c>
      <c r="M133" s="61" t="s">
        <v>85</v>
      </c>
      <c r="O133" s="174" t="s">
        <v>64</v>
      </c>
      <c r="P133" s="174"/>
      <c r="Q133" s="175" t="s">
        <v>109</v>
      </c>
      <c r="R133" s="175"/>
    </row>
    <row r="134" spans="1:34" ht="24.75" x14ac:dyDescent="0.25">
      <c r="A134" s="61" t="s">
        <v>51</v>
      </c>
      <c r="B134" s="1">
        <f>AA128</f>
        <v>3.9101438569080559E-7</v>
      </c>
      <c r="C134" s="59">
        <f>MAX(AC128+1*L121-F128,0)</f>
        <v>0</v>
      </c>
      <c r="D134" s="62" t="s">
        <v>55</v>
      </c>
      <c r="E134" s="1">
        <f>AA128*AA129</f>
        <v>2.6443592026242004E-10</v>
      </c>
      <c r="F134" s="1">
        <f>MAX(AC129+2*L121-F129,0)</f>
        <v>70.666666666666657</v>
      </c>
      <c r="G134" s="62" t="s">
        <v>59</v>
      </c>
      <c r="H134" s="1">
        <f>AA128*AA129*AA130</f>
        <v>5.0213602331777116E-13</v>
      </c>
      <c r="I134" s="1">
        <f>AC130+3*L121-F130</f>
        <v>96.333333333333314</v>
      </c>
      <c r="J134" s="62" t="s">
        <v>83</v>
      </c>
      <c r="K134" s="1">
        <f>AA128*AA129*AA130*AA131</f>
        <v>6.8279037746103947E-16</v>
      </c>
      <c r="L134" s="1">
        <f>AC131+4*L121-F131</f>
        <v>205.33333333333331</v>
      </c>
      <c r="M134" s="1">
        <f>B134*C134*AH128+E134*F134*AH129+H134*I134*AH130+K134*L134*AH131</f>
        <v>7.5159928037136642E-7</v>
      </c>
      <c r="O134" s="1" t="s">
        <v>27</v>
      </c>
      <c r="P134" s="1">
        <f>2*H119</f>
        <v>3640</v>
      </c>
      <c r="Q134" s="1">
        <f>(K128*(1-P128)*(1-U128)*(1-Z128))+(P128*(1-K128)*(1-U128)*(1-Z128))+(U128*(1-K128)*(1-P128)*(1-Z128))+(Z128*(1-K128)*(1-P128)*(1-U128))</f>
        <v>0.1405459062810282</v>
      </c>
      <c r="R134" s="1">
        <f>Q134*(L$7*(J$5*K$5+L$5)+I$5)</f>
        <v>4953.5404668748388</v>
      </c>
    </row>
    <row r="135" spans="1:34" ht="24.75" x14ac:dyDescent="0.25">
      <c r="A135" s="62" t="s">
        <v>52</v>
      </c>
      <c r="B135" s="1">
        <f>AB128</f>
        <v>0.99999960898561435</v>
      </c>
      <c r="C135" s="59">
        <f>MAX(AC128-F128,0)</f>
        <v>0</v>
      </c>
      <c r="D135" s="62" t="s">
        <v>56</v>
      </c>
      <c r="E135" s="1">
        <f>AA128*AB129+AA129*AB128</f>
        <v>6.7667230515902979E-4</v>
      </c>
      <c r="F135" s="1">
        <f>MAX(AC129+1*L121-F129,0)</f>
        <v>58.666666666666657</v>
      </c>
      <c r="G135" s="62" t="s">
        <v>60</v>
      </c>
      <c r="H135" s="1">
        <f>AA128*AA129*AB130+AA129*AA130*AB128+AA128*AA130*AB129</f>
        <v>1.2851935305827119E-6</v>
      </c>
      <c r="I135" s="1">
        <f>AC130+2*L121-F130</f>
        <v>84.333333333333314</v>
      </c>
      <c r="J135" s="62" t="s">
        <v>59</v>
      </c>
      <c r="K135">
        <f>AB128*AA129*AA130*AA131+AB129*AA128*AA130*AA131*+AB130*AA128*AA129*AA131+AB131*AA128*AA129*AA130</f>
        <v>1.7467034740969386E-9</v>
      </c>
      <c r="L135" s="1">
        <f>AC131+3*L121-F131</f>
        <v>193.33333333333331</v>
      </c>
      <c r="M135" s="1">
        <f>B135*C135*AH128+E135*F135*AH129+H135*I135*AH130+K135*L135*AH131</f>
        <v>1.597174184958799</v>
      </c>
      <c r="O135" s="1" t="s">
        <v>28</v>
      </c>
      <c r="P135" s="1">
        <f>2*H120</f>
        <v>5440</v>
      </c>
      <c r="Q135" s="1">
        <f t="shared" ref="Q135:Q137" si="14">(K129*(1-P129)*(1-U129)*(1-Z129))+(P129*(1-K129)*(1-U129)*(1-Z129))+(U129*(1-K129)*(1-P129)*(1-Z129))+(Z129*(1-K129)*(1-P129)*(1-U129))</f>
        <v>0.4637660892509754</v>
      </c>
      <c r="R135" s="1">
        <f t="shared" ref="R135:R137" si="15">Q135*(L$7*(J$5*K$5+L$5)+I$5)</f>
        <v>16345.435815650628</v>
      </c>
    </row>
    <row r="136" spans="1:34" ht="24.75" x14ac:dyDescent="0.25">
      <c r="A136" s="1"/>
      <c r="B136" s="1"/>
      <c r="C136" s="1"/>
      <c r="D136" s="62" t="s">
        <v>52</v>
      </c>
      <c r="E136" s="1">
        <f>AB128*AB129</f>
        <v>0.99932332743040508</v>
      </c>
      <c r="F136" s="59">
        <f>MAX(AC129-F129,0)</f>
        <v>46.666666666666657</v>
      </c>
      <c r="G136" s="62" t="s">
        <v>56</v>
      </c>
      <c r="H136" s="1">
        <f>AA128*AB129*AB130+AA129*AB128*AB130*+AA130*AB128*AB129</f>
        <v>1.670889698646685E-6</v>
      </c>
      <c r="I136" s="1">
        <f>AC130+1*L121-F130</f>
        <v>72.333333333333314</v>
      </c>
      <c r="J136" s="62" t="s">
        <v>60</v>
      </c>
      <c r="K136" s="1">
        <f>AA128*AA129*AB130*AB131 + AA128*AA130*AB129*AB131 + AA128*AA131*AB129*AB130 + AA129*AA130*AB128*AB131 + AA129*AA131*AB128*AB130 + AA130*AA131*AB128*AB129</f>
        <v>4.7821350703797086E-6</v>
      </c>
      <c r="L136" s="1">
        <f>AC131+2*L121-F131</f>
        <v>181.33333333333331</v>
      </c>
      <c r="M136" s="1">
        <f>B136*C136*AH128+E136*F136*AH129+H136*I136*AH130+K136*L136*AH131</f>
        <v>1865.5092053777903</v>
      </c>
      <c r="O136" s="1" t="s">
        <v>29</v>
      </c>
      <c r="P136" s="1">
        <f>2*(F121*(J119*K119+L119)+H121)</f>
        <v>28200</v>
      </c>
      <c r="Q136" s="1">
        <f t="shared" si="14"/>
        <v>0.47735719717134667</v>
      </c>
      <c r="R136" s="1">
        <f t="shared" si="15"/>
        <v>16824.454414304113</v>
      </c>
    </row>
    <row r="137" spans="1:34" ht="24.75" x14ac:dyDescent="0.25">
      <c r="A137" s="1"/>
      <c r="B137" s="1"/>
      <c r="C137" s="1"/>
      <c r="D137" s="1"/>
      <c r="E137" s="1"/>
      <c r="F137" s="1"/>
      <c r="G137" s="62" t="s">
        <v>52</v>
      </c>
      <c r="H137" s="1">
        <f>AB128*AB129*AB130</f>
        <v>0.99742571744933062</v>
      </c>
      <c r="I137" s="63">
        <f>AC130-F130</f>
        <v>60.333333333333314</v>
      </c>
      <c r="J137" s="62" t="s">
        <v>56</v>
      </c>
      <c r="K137" s="1">
        <f>AA128*AB129*AB130*AB131+AA129*AB128*AB130*AB131+AA130*AB128*AB129*AB131+AA131*AB128*AB129*AB130</f>
        <v>3.9257699774537715E-3</v>
      </c>
      <c r="L137" s="1">
        <f>AC131+1*L121-F131</f>
        <v>169.33333333333331</v>
      </c>
      <c r="M137" s="1">
        <f>B137*C137*AH128+E137*F137*AH129+H137*I137*AH130+K137*L137*AH131</f>
        <v>5188.2555630993547</v>
      </c>
      <c r="O137" s="1" t="s">
        <v>30</v>
      </c>
      <c r="P137" s="1">
        <f>2*H122</f>
        <v>8640</v>
      </c>
      <c r="Q137" s="1">
        <f t="shared" si="14"/>
        <v>0.48698015484954404</v>
      </c>
      <c r="R137" s="1">
        <f t="shared" si="15"/>
        <v>17163.615557672179</v>
      </c>
    </row>
    <row r="138" spans="1:34" ht="30" x14ac:dyDescent="0.25">
      <c r="I138" s="84"/>
      <c r="J138" s="62" t="s">
        <v>52</v>
      </c>
      <c r="K138" s="85">
        <f>AB128*AB129*AB130*AB131</f>
        <v>0.99606944613940396</v>
      </c>
      <c r="L138" s="1">
        <f>AC131+0*L121-F131</f>
        <v>157.33333333333331</v>
      </c>
      <c r="M138" s="1">
        <f>B138*C138*AH128+E138*F138*AH129+H138*I138*AH130+K138*L138*AH131</f>
        <v>17238.641881185948</v>
      </c>
      <c r="O138" s="64" t="s">
        <v>65</v>
      </c>
      <c r="P138" s="65">
        <f>SUM(P134:P137)</f>
        <v>45920</v>
      </c>
      <c r="Q138" s="96" t="s">
        <v>108</v>
      </c>
      <c r="R138" s="97">
        <f>SUM(R134:R137)</f>
        <v>55287.046254501758</v>
      </c>
    </row>
    <row r="139" spans="1:34" x14ac:dyDescent="0.25">
      <c r="L139" s="176" t="s">
        <v>63</v>
      </c>
      <c r="M139" s="177">
        <f>SUM(M134:M138)</f>
        <v>24294.003824599651</v>
      </c>
    </row>
    <row r="140" spans="1:34" x14ac:dyDescent="0.25">
      <c r="L140" s="176"/>
      <c r="M140" s="177"/>
    </row>
    <row r="141" spans="1:34" x14ac:dyDescent="0.25">
      <c r="A141" s="178" t="s">
        <v>90</v>
      </c>
      <c r="B141" s="178"/>
      <c r="C141" s="178"/>
      <c r="D141" s="178"/>
      <c r="E141" s="178"/>
      <c r="F141" s="178"/>
      <c r="G141" s="178"/>
      <c r="H141" s="178"/>
      <c r="I141" s="178"/>
      <c r="J141" s="178"/>
      <c r="K141" s="178"/>
      <c r="L141" s="178"/>
      <c r="M141" s="178"/>
      <c r="N141" s="178"/>
    </row>
    <row r="142" spans="1:34" ht="15.75" x14ac:dyDescent="0.25">
      <c r="A142" s="87" t="s">
        <v>76</v>
      </c>
      <c r="B142" s="62" t="s">
        <v>49</v>
      </c>
      <c r="C142" s="90" t="s">
        <v>102</v>
      </c>
      <c r="D142" s="62" t="s">
        <v>88</v>
      </c>
      <c r="E142" s="87" t="s">
        <v>75</v>
      </c>
      <c r="F142" s="62" t="s">
        <v>57</v>
      </c>
      <c r="G142" s="90" t="s">
        <v>87</v>
      </c>
      <c r="H142" s="62" t="s">
        <v>88</v>
      </c>
      <c r="I142" s="87" t="s">
        <v>86</v>
      </c>
      <c r="J142" s="62" t="s">
        <v>61</v>
      </c>
      <c r="K142" s="90" t="s">
        <v>103</v>
      </c>
      <c r="L142" s="62" t="s">
        <v>88</v>
      </c>
      <c r="M142" s="87" t="s">
        <v>77</v>
      </c>
      <c r="N142" s="62" t="s">
        <v>84</v>
      </c>
      <c r="O142" s="90" t="s">
        <v>78</v>
      </c>
      <c r="P142" s="62" t="s">
        <v>88</v>
      </c>
    </row>
    <row r="143" spans="1:34" ht="24.75" x14ac:dyDescent="0.25">
      <c r="A143" s="62" t="s">
        <v>51</v>
      </c>
      <c r="B143" s="86">
        <v>3.9101438569080559E-7</v>
      </c>
      <c r="C143" s="86">
        <f>AC128+1*L121</f>
        <v>57.666666666666664</v>
      </c>
      <c r="D143" s="86">
        <f>MAX(B143*1.5*((C143-F128)*500/2),0)</f>
        <v>0</v>
      </c>
      <c r="E143" s="62" t="s">
        <v>55</v>
      </c>
      <c r="F143" s="86">
        <v>2.6443592026242004E-10</v>
      </c>
      <c r="G143" s="86">
        <f>AC129+2*L121</f>
        <v>146.66666666666666</v>
      </c>
      <c r="H143" s="86">
        <f>F143*1.5*((G143-F129)*500/2+(G143-F130)*500 + (G143-F131)*500)</f>
        <v>1.6395027056270037E-5</v>
      </c>
      <c r="I143" s="62" t="s">
        <v>59</v>
      </c>
      <c r="J143" s="86">
        <v>5.0213602331777116E-13</v>
      </c>
      <c r="K143" s="86">
        <f>AC130+3*L121</f>
        <v>236.33333333333331</v>
      </c>
      <c r="L143" s="86">
        <f>J143*1.5*((K143-G143)*500/2+(K143-G143)*500)</f>
        <v>5.0652971352180164E-8</v>
      </c>
      <c r="M143" s="62" t="s">
        <v>83</v>
      </c>
      <c r="N143" s="86">
        <v>6.8279037746103947E-16</v>
      </c>
      <c r="O143" s="86">
        <f>AC131+4*L121</f>
        <v>311.33333333333331</v>
      </c>
      <c r="P143" s="86">
        <f>N143*1.5*((O143-K143)*500/2)</f>
        <v>1.9203479366091735E-11</v>
      </c>
    </row>
    <row r="144" spans="1:34" ht="24.75" x14ac:dyDescent="0.25">
      <c r="A144" s="62" t="s">
        <v>52</v>
      </c>
      <c r="B144" s="86">
        <v>0.99999960898561435</v>
      </c>
      <c r="C144" s="88">
        <f>AC128</f>
        <v>45.666666666666664</v>
      </c>
      <c r="D144" s="86">
        <f>MAX(B144*1.5*((C144-F128)*500/2),0)</f>
        <v>0</v>
      </c>
      <c r="E144" s="62" t="s">
        <v>56</v>
      </c>
      <c r="F144" s="86">
        <v>6.7667230515902979E-4</v>
      </c>
      <c r="G144" s="86">
        <f>AC129+1*L121</f>
        <v>134.66666666666666</v>
      </c>
      <c r="H144" s="86">
        <f>F144*1.5*((G144-F129)*500/2+(G144-F130)*500+(G144-F131)*500)</f>
        <v>26.728556053781666</v>
      </c>
      <c r="I144" s="62" t="s">
        <v>60</v>
      </c>
      <c r="J144" s="86">
        <v>1.2851935305827119E-6</v>
      </c>
      <c r="K144" s="86">
        <f>AC130+2*L121</f>
        <v>224.33333333333331</v>
      </c>
      <c r="L144" s="86">
        <f>J144*1.5*((K144-F130)*500/2+(K144-G144)*500)</f>
        <v>0.1270735103363656</v>
      </c>
      <c r="M144" s="62" t="s">
        <v>59</v>
      </c>
      <c r="N144" s="86">
        <v>1.7467034740969386E-9</v>
      </c>
      <c r="O144" s="86">
        <f>AC131+3*L121</f>
        <v>299.33333333333331</v>
      </c>
      <c r="P144" s="86">
        <f>N144*1.5*((O144-K144)*500/2)</f>
        <v>4.9126035208976397E-5</v>
      </c>
    </row>
    <row r="145" spans="1:22" x14ac:dyDescent="0.25">
      <c r="A145" s="86"/>
      <c r="B145" s="86"/>
      <c r="C145" s="89" t="s">
        <v>89</v>
      </c>
      <c r="D145" s="89">
        <f>SUM(D143:D144)</f>
        <v>0</v>
      </c>
      <c r="E145" s="62" t="s">
        <v>52</v>
      </c>
      <c r="F145" s="86">
        <v>0.99932332743040508</v>
      </c>
      <c r="G145" s="86">
        <f>AC129+0*L121</f>
        <v>122.66666666666666</v>
      </c>
      <c r="H145" s="86">
        <f>F145*1.5*((G145-F129)*500/2+(G145-F131)*500)</f>
        <v>29979.699822912142</v>
      </c>
      <c r="I145" s="62" t="s">
        <v>56</v>
      </c>
      <c r="J145" s="86">
        <v>1.670889698646685E-6</v>
      </c>
      <c r="K145" s="86">
        <f>AC130+1*L121</f>
        <v>212.33333333333331</v>
      </c>
      <c r="L145" s="86">
        <f>J145*1.5*((K145-F130)*500/2+(K145-G145)*500)</f>
        <v>0.15769021530978086</v>
      </c>
      <c r="M145" s="62" t="s">
        <v>60</v>
      </c>
      <c r="N145" s="86">
        <v>4.7821350703797086E-6</v>
      </c>
      <c r="O145" s="86">
        <f>AC131+2*L121</f>
        <v>287.33333333333331</v>
      </c>
      <c r="P145" s="86">
        <f>N145*1.5*((O145-K145)*500/2)</f>
        <v>0.1344975488544293</v>
      </c>
    </row>
    <row r="146" spans="1:22" x14ac:dyDescent="0.25">
      <c r="A146" s="86"/>
      <c r="B146" s="86"/>
      <c r="C146" s="86"/>
      <c r="D146" s="86"/>
      <c r="E146" s="86"/>
      <c r="F146" s="86"/>
      <c r="G146" s="89" t="s">
        <v>79</v>
      </c>
      <c r="H146" s="89">
        <f>SUM(H143:H145)</f>
        <v>30006.428395360952</v>
      </c>
      <c r="I146" s="62" t="s">
        <v>52</v>
      </c>
      <c r="J146" s="86">
        <v>0.99742571744933062</v>
      </c>
      <c r="K146" s="86">
        <f>AC130+0*L121</f>
        <v>200.33333333333331</v>
      </c>
      <c r="L146" s="86">
        <f>J146*1.5*((K146-G130)*500/2+(K146-G145)*500)</f>
        <v>100914.54696293602</v>
      </c>
      <c r="M146" s="62" t="s">
        <v>56</v>
      </c>
      <c r="N146" s="86">
        <v>3.9257699774537715E-3</v>
      </c>
      <c r="O146" s="86">
        <f>AC131+1*L121</f>
        <v>275.33333333333331</v>
      </c>
      <c r="P146" s="86">
        <f>N146*1.5*((O146-K146)*500/2)</f>
        <v>110.41228061588733</v>
      </c>
    </row>
    <row r="147" spans="1:22" x14ac:dyDescent="0.25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9" t="s">
        <v>79</v>
      </c>
      <c r="L147" s="89">
        <f>SUM(L143:L146)</f>
        <v>100914.83172671232</v>
      </c>
      <c r="M147" s="62" t="s">
        <v>52</v>
      </c>
      <c r="N147" s="86">
        <v>0.99606944613940396</v>
      </c>
      <c r="O147" s="86">
        <f>AC131+0*L121</f>
        <v>263.33333333333331</v>
      </c>
      <c r="P147" s="86">
        <f>N147*1.5*((O147-K146)*500/2)</f>
        <v>23532.140665043418</v>
      </c>
      <c r="Q147" s="179" t="s">
        <v>80</v>
      </c>
      <c r="R147" s="179"/>
      <c r="S147" s="180">
        <f>D145+H146+L147+P148</f>
        <v>154563.94761440749</v>
      </c>
      <c r="T147" s="180"/>
    </row>
    <row r="148" spans="1:22" x14ac:dyDescent="0.25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9" t="s">
        <v>79</v>
      </c>
      <c r="P148" s="89">
        <f>SUM(P143:P147)</f>
        <v>23642.687492334215</v>
      </c>
      <c r="Q148" s="179"/>
      <c r="R148" s="179"/>
      <c r="S148" s="180"/>
      <c r="T148" s="180"/>
    </row>
    <row r="149" spans="1:22" x14ac:dyDescent="0.25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</row>
    <row r="150" spans="1:22" x14ac:dyDescent="0.25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</row>
    <row r="151" spans="1:22" x14ac:dyDescent="0.25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</row>
    <row r="152" spans="1:22" ht="24.75" thickBot="1" x14ac:dyDescent="0.3">
      <c r="O152" s="131" t="s">
        <v>81</v>
      </c>
      <c r="P152" s="131"/>
      <c r="Q152" s="131">
        <f>(R138+P138+M139+S147)/AC131</f>
        <v>1063.5379659247176</v>
      </c>
      <c r="R152" s="131"/>
    </row>
    <row r="153" spans="1:22" x14ac:dyDescent="0.25">
      <c r="A153" s="181" t="s">
        <v>95</v>
      </c>
      <c r="B153" s="182"/>
    </row>
    <row r="154" spans="1:22" ht="15.75" thickBot="1" x14ac:dyDescent="0.3">
      <c r="A154" s="183"/>
      <c r="B154" s="184"/>
    </row>
    <row r="155" spans="1:22" ht="21" x14ac:dyDescent="0.35">
      <c r="A155" s="185" t="s">
        <v>14</v>
      </c>
      <c r="B155" s="185"/>
      <c r="C155" s="165"/>
      <c r="D155" s="165"/>
      <c r="E155" s="165"/>
      <c r="F155" s="165"/>
      <c r="G155" s="165"/>
      <c r="H155" s="165"/>
      <c r="I155" s="165"/>
      <c r="J155" s="165"/>
      <c r="K155" s="165"/>
      <c r="L155" s="165"/>
      <c r="M155" s="165"/>
      <c r="O155" s="166" t="s">
        <v>72</v>
      </c>
      <c r="P155" s="166"/>
      <c r="Q155" s="166"/>
      <c r="R155" s="166"/>
      <c r="S155" s="166"/>
      <c r="T155" s="166"/>
      <c r="U155" s="166"/>
      <c r="V155" s="166"/>
    </row>
    <row r="156" spans="1:22" ht="36" x14ac:dyDescent="0.25">
      <c r="A156" s="4" t="s">
        <v>15</v>
      </c>
      <c r="B156" s="4" t="s">
        <v>16</v>
      </c>
      <c r="C156" s="4" t="s">
        <v>31</v>
      </c>
      <c r="D156" s="6" t="s">
        <v>17</v>
      </c>
      <c r="E156" s="6" t="s">
        <v>18</v>
      </c>
      <c r="F156" s="6" t="s">
        <v>19</v>
      </c>
      <c r="G156" s="6" t="s">
        <v>20</v>
      </c>
      <c r="H156" s="6" t="s">
        <v>21</v>
      </c>
      <c r="I156" s="6" t="s">
        <v>22</v>
      </c>
      <c r="J156" s="6" t="s">
        <v>23</v>
      </c>
      <c r="K156" s="6" t="s">
        <v>24</v>
      </c>
      <c r="L156" s="6" t="s">
        <v>25</v>
      </c>
      <c r="M156" s="6" t="s">
        <v>26</v>
      </c>
      <c r="N156" s="8"/>
      <c r="O156" s="167" t="s">
        <v>32</v>
      </c>
      <c r="P156" s="167" t="s">
        <v>35</v>
      </c>
      <c r="Q156" s="167" t="s">
        <v>66</v>
      </c>
      <c r="R156" s="99" t="s">
        <v>67</v>
      </c>
      <c r="S156" s="99" t="s">
        <v>68</v>
      </c>
      <c r="T156" s="167" t="s">
        <v>69</v>
      </c>
      <c r="U156" s="71" t="s">
        <v>33</v>
      </c>
      <c r="V156" s="99" t="s">
        <v>70</v>
      </c>
    </row>
    <row r="157" spans="1:22" x14ac:dyDescent="0.25">
      <c r="A157" s="3" t="s">
        <v>27</v>
      </c>
      <c r="B157" s="3">
        <v>0</v>
      </c>
      <c r="C157" s="3">
        <v>0.3</v>
      </c>
      <c r="D157" s="3">
        <v>243</v>
      </c>
      <c r="E157" s="3">
        <v>1.73</v>
      </c>
      <c r="F157" s="3">
        <v>5</v>
      </c>
      <c r="G157" s="169">
        <v>12</v>
      </c>
      <c r="H157" s="3">
        <v>1820</v>
      </c>
      <c r="I157" s="169">
        <v>19645</v>
      </c>
      <c r="J157" s="3">
        <v>20</v>
      </c>
      <c r="K157" s="3">
        <v>40</v>
      </c>
      <c r="L157" s="3">
        <v>500</v>
      </c>
      <c r="M157" s="3">
        <v>1000</v>
      </c>
      <c r="O157" s="168"/>
      <c r="P157" s="168"/>
      <c r="Q157" s="168"/>
      <c r="R157" s="72" t="s">
        <v>71</v>
      </c>
      <c r="S157" s="72" t="s">
        <v>71</v>
      </c>
      <c r="T157" s="168"/>
      <c r="U157" s="73">
        <v>500</v>
      </c>
      <c r="V157" s="3">
        <v>1.5</v>
      </c>
    </row>
    <row r="158" spans="1:22" x14ac:dyDescent="0.25">
      <c r="A158" s="3" t="s">
        <v>28</v>
      </c>
      <c r="B158" s="3">
        <v>0</v>
      </c>
      <c r="C158" s="3">
        <v>0.3</v>
      </c>
      <c r="D158" s="3">
        <v>254</v>
      </c>
      <c r="E158" s="3">
        <v>1.88</v>
      </c>
      <c r="F158" s="3">
        <v>3</v>
      </c>
      <c r="G158" s="170"/>
      <c r="H158" s="3">
        <v>2720</v>
      </c>
      <c r="I158" s="170"/>
      <c r="J158" s="5"/>
      <c r="K158" s="5"/>
      <c r="L158" s="5"/>
      <c r="M158" s="5"/>
      <c r="O158" s="74">
        <v>1</v>
      </c>
      <c r="P158" s="74">
        <v>106</v>
      </c>
      <c r="Q158" s="74">
        <v>110</v>
      </c>
      <c r="R158" s="74">
        <v>6</v>
      </c>
      <c r="S158" s="74">
        <v>5</v>
      </c>
      <c r="T158" s="74">
        <f>R158*$U$5/60+S158</f>
        <v>55</v>
      </c>
      <c r="U158" s="75"/>
    </row>
    <row r="159" spans="1:22" x14ac:dyDescent="0.25">
      <c r="A159" s="3" t="s">
        <v>29</v>
      </c>
      <c r="B159" s="3">
        <v>0</v>
      </c>
      <c r="C159" s="3">
        <v>0.3</v>
      </c>
      <c r="D159" s="3">
        <v>143</v>
      </c>
      <c r="E159" s="3">
        <v>2.4300000000000002</v>
      </c>
      <c r="F159" s="3">
        <v>8</v>
      </c>
      <c r="G159" s="170"/>
      <c r="H159" s="3">
        <v>3700</v>
      </c>
      <c r="I159" s="170"/>
      <c r="J159" s="5"/>
      <c r="K159" s="140" t="s">
        <v>73</v>
      </c>
      <c r="L159" s="141">
        <v>12</v>
      </c>
      <c r="M159" s="140" t="s">
        <v>74</v>
      </c>
      <c r="N159" s="141">
        <v>19645</v>
      </c>
      <c r="O159" s="74">
        <v>2</v>
      </c>
      <c r="P159" s="74">
        <v>76</v>
      </c>
      <c r="Q159" s="74">
        <v>40</v>
      </c>
      <c r="R159" s="74">
        <v>9</v>
      </c>
      <c r="S159" s="74">
        <v>2</v>
      </c>
      <c r="T159" s="74">
        <f t="shared" ref="T159:T161" si="16">R159*$U$5/60+S159</f>
        <v>77</v>
      </c>
      <c r="U159" s="75"/>
    </row>
    <row r="160" spans="1:22" x14ac:dyDescent="0.25">
      <c r="A160" s="3" t="s">
        <v>30</v>
      </c>
      <c r="B160" s="3">
        <v>0</v>
      </c>
      <c r="C160" s="3">
        <v>0.3</v>
      </c>
      <c r="D160" s="3">
        <v>449</v>
      </c>
      <c r="E160" s="3">
        <v>2.5299999999999998</v>
      </c>
      <c r="F160" s="3">
        <v>4</v>
      </c>
      <c r="G160" s="171"/>
      <c r="H160" s="3">
        <v>4320</v>
      </c>
      <c r="I160" s="171"/>
      <c r="J160" s="5"/>
      <c r="K160" s="140"/>
      <c r="L160" s="141"/>
      <c r="M160" s="140"/>
      <c r="N160" s="141"/>
      <c r="O160" s="74">
        <v>3</v>
      </c>
      <c r="P160" s="74">
        <v>95</v>
      </c>
      <c r="Q160" s="74">
        <v>67</v>
      </c>
      <c r="R160" s="74">
        <v>5</v>
      </c>
      <c r="S160" s="74">
        <v>4</v>
      </c>
      <c r="T160" s="74">
        <f t="shared" si="16"/>
        <v>45.666666666666664</v>
      </c>
      <c r="U160" s="75"/>
    </row>
    <row r="161" spans="1:34" ht="15.75" thickBo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O161" s="74">
        <v>4</v>
      </c>
      <c r="P161" s="74">
        <v>140</v>
      </c>
      <c r="Q161" s="94">
        <v>85</v>
      </c>
      <c r="R161" s="94">
        <v>8</v>
      </c>
      <c r="S161" s="94">
        <v>3</v>
      </c>
      <c r="T161" s="74">
        <f t="shared" si="16"/>
        <v>69.666666666666671</v>
      </c>
    </row>
    <row r="162" spans="1:34" ht="15" customHeight="1" x14ac:dyDescent="0.25">
      <c r="A162" s="142" t="s">
        <v>100</v>
      </c>
      <c r="B162" s="144" t="s">
        <v>129</v>
      </c>
      <c r="C162" s="144"/>
      <c r="D162" s="144"/>
      <c r="E162" s="144"/>
      <c r="F162" s="20" t="s">
        <v>27</v>
      </c>
      <c r="G162" s="20" t="s">
        <v>28</v>
      </c>
      <c r="H162" s="20" t="s">
        <v>29</v>
      </c>
      <c r="I162" s="20" t="s">
        <v>30</v>
      </c>
    </row>
    <row r="163" spans="1:34" ht="15.75" customHeight="1" thickBot="1" x14ac:dyDescent="0.3">
      <c r="A163" s="143"/>
      <c r="B163" s="145"/>
      <c r="C163" s="145"/>
      <c r="D163" s="145"/>
      <c r="E163" s="145"/>
      <c r="F163" s="20">
        <v>91</v>
      </c>
      <c r="G163" s="26">
        <v>91</v>
      </c>
      <c r="H163" s="26">
        <v>91</v>
      </c>
      <c r="I163" s="26">
        <v>91</v>
      </c>
    </row>
    <row r="164" spans="1:34" ht="15.75" customHeight="1" thickBot="1" x14ac:dyDescent="0.3">
      <c r="A164" s="143"/>
      <c r="B164" s="145"/>
      <c r="C164" s="145"/>
      <c r="D164" s="145"/>
      <c r="E164" s="145"/>
      <c r="F164" s="7"/>
      <c r="G164" s="146" t="s">
        <v>27</v>
      </c>
      <c r="H164" s="147"/>
      <c r="I164" s="147"/>
      <c r="J164" s="147"/>
      <c r="K164" s="148"/>
      <c r="L164" s="149" t="s">
        <v>28</v>
      </c>
      <c r="M164" s="150"/>
      <c r="N164" s="150"/>
      <c r="O164" s="150"/>
      <c r="P164" s="151"/>
      <c r="Q164" s="152" t="s">
        <v>29</v>
      </c>
      <c r="R164" s="153"/>
      <c r="S164" s="153"/>
      <c r="T164" s="153"/>
      <c r="U164" s="154"/>
      <c r="V164" s="155" t="s">
        <v>30</v>
      </c>
      <c r="W164" s="156"/>
      <c r="X164" s="156"/>
      <c r="Y164" s="156"/>
      <c r="Z164" s="157"/>
      <c r="AA164" s="158" t="s">
        <v>42</v>
      </c>
      <c r="AB164" s="159"/>
      <c r="AC164" s="160" t="s">
        <v>44</v>
      </c>
      <c r="AD164" s="162" t="s">
        <v>47</v>
      </c>
      <c r="AE164" s="163"/>
      <c r="AF164" s="163"/>
      <c r="AG164" s="164"/>
      <c r="AH164" s="138" t="s">
        <v>62</v>
      </c>
    </row>
    <row r="165" spans="1:34" ht="36.75" x14ac:dyDescent="0.25">
      <c r="A165" s="21" t="s">
        <v>32</v>
      </c>
      <c r="B165" s="22" t="s">
        <v>37</v>
      </c>
      <c r="C165" s="23" t="s">
        <v>33</v>
      </c>
      <c r="D165" s="22" t="s">
        <v>38</v>
      </c>
      <c r="E165" s="22" t="s">
        <v>34</v>
      </c>
      <c r="F165" s="25" t="s">
        <v>35</v>
      </c>
      <c r="G165" s="27" t="s">
        <v>39</v>
      </c>
      <c r="H165" s="10" t="s">
        <v>40</v>
      </c>
      <c r="I165" s="10" t="s">
        <v>45</v>
      </c>
      <c r="J165" s="10" t="s">
        <v>46</v>
      </c>
      <c r="K165" s="28" t="s">
        <v>41</v>
      </c>
      <c r="L165" s="30" t="s">
        <v>39</v>
      </c>
      <c r="M165" s="13" t="s">
        <v>40</v>
      </c>
      <c r="N165" s="13" t="s">
        <v>45</v>
      </c>
      <c r="O165" s="13" t="s">
        <v>46</v>
      </c>
      <c r="P165" s="31" t="s">
        <v>41</v>
      </c>
      <c r="Q165" s="33" t="s">
        <v>39</v>
      </c>
      <c r="R165" s="12" t="s">
        <v>40</v>
      </c>
      <c r="S165" s="12" t="s">
        <v>45</v>
      </c>
      <c r="T165" s="12" t="s">
        <v>46</v>
      </c>
      <c r="U165" s="34" t="s">
        <v>41</v>
      </c>
      <c r="V165" s="36" t="s">
        <v>39</v>
      </c>
      <c r="W165" s="11" t="s">
        <v>40</v>
      </c>
      <c r="X165" s="11" t="s">
        <v>45</v>
      </c>
      <c r="Y165" s="11" t="s">
        <v>46</v>
      </c>
      <c r="Z165" s="37" t="s">
        <v>41</v>
      </c>
      <c r="AA165" s="39" t="s">
        <v>41</v>
      </c>
      <c r="AB165" s="40" t="s">
        <v>43</v>
      </c>
      <c r="AC165" s="161"/>
      <c r="AD165" s="43" t="s">
        <v>27</v>
      </c>
      <c r="AE165" s="1" t="s">
        <v>28</v>
      </c>
      <c r="AF165" s="1" t="s">
        <v>29</v>
      </c>
      <c r="AG165" s="1" t="s">
        <v>30</v>
      </c>
      <c r="AH165" s="139"/>
    </row>
    <row r="166" spans="1:34" x14ac:dyDescent="0.25">
      <c r="A166" s="24">
        <v>3</v>
      </c>
      <c r="B166" s="9">
        <v>5</v>
      </c>
      <c r="C166" s="9">
        <v>500</v>
      </c>
      <c r="D166" s="9">
        <v>4</v>
      </c>
      <c r="E166" s="48">
        <f>B166*C166/60+D166</f>
        <v>45.666666666666664</v>
      </c>
      <c r="F166" s="14">
        <v>95</v>
      </c>
      <c r="G166" s="49">
        <f>B$5*(1-AD166*C$5)</f>
        <v>0</v>
      </c>
      <c r="H166" s="50">
        <f>G166+E166</f>
        <v>45.666666666666664</v>
      </c>
      <c r="I166" s="15">
        <f>(H166/D$5)^E$5</f>
        <v>5.5463587496332782E-2</v>
      </c>
      <c r="J166" s="15">
        <f>(G166/D$5)^E$5</f>
        <v>0</v>
      </c>
      <c r="K166" s="29">
        <f>1-EXP(J166-I166)</f>
        <v>5.3953529036131931E-2</v>
      </c>
      <c r="L166" s="51">
        <f>B$6*(1-AE166*C$6)</f>
        <v>0</v>
      </c>
      <c r="M166" s="52">
        <f>L166+E166</f>
        <v>45.666666666666664</v>
      </c>
      <c r="N166" s="17">
        <f>(M166/D$6)^E$6</f>
        <v>3.9715434673642101E-2</v>
      </c>
      <c r="O166" s="17">
        <f>(L166/D$6)^E$6</f>
        <v>0</v>
      </c>
      <c r="P166" s="32">
        <f>1-EXP(O166-N166)</f>
        <v>3.8937114582545562E-2</v>
      </c>
      <c r="Q166" s="53">
        <f>B$7*(1-AF166*C$7)</f>
        <v>0</v>
      </c>
      <c r="R166" s="54">
        <f>Q166+E166</f>
        <v>45.666666666666664</v>
      </c>
      <c r="S166" s="16">
        <f>(R166/D$7)^E$7</f>
        <v>6.2425173515745024E-2</v>
      </c>
      <c r="T166" s="16">
        <f>(Q166/D$7)^E$7</f>
        <v>0</v>
      </c>
      <c r="U166" s="35">
        <f>1-EXP(T166-S166)</f>
        <v>6.0516641579816954E-2</v>
      </c>
      <c r="V166" s="55">
        <f>B$8*(1-AG166*C$8)</f>
        <v>0</v>
      </c>
      <c r="W166" s="56">
        <f>V166+E166</f>
        <v>45.666666666666664</v>
      </c>
      <c r="X166" s="18">
        <f>(W166/D$8)^E$8</f>
        <v>3.0803709406480337E-3</v>
      </c>
      <c r="Y166" s="18">
        <f>(V166/D$8)^E$8</f>
        <v>0</v>
      </c>
      <c r="Z166" s="38">
        <f>1-EXP(Y166-X166)</f>
        <v>3.0756314657778283E-3</v>
      </c>
      <c r="AA166" s="41">
        <f>K166*P166*U166*Z166</f>
        <v>3.9101438569080559E-7</v>
      </c>
      <c r="AB166" s="42">
        <f>1-AA166</f>
        <v>0.99999960898561435</v>
      </c>
      <c r="AC166" s="47">
        <f>(AD166*F$5+AE166*F$6+AF166*F$7+AG166*F$8)+E166</f>
        <v>45.666666666666664</v>
      </c>
      <c r="AD166" s="43">
        <v>0</v>
      </c>
      <c r="AE166" s="1">
        <v>0</v>
      </c>
      <c r="AF166" s="1">
        <v>0</v>
      </c>
      <c r="AG166" s="1">
        <v>0</v>
      </c>
      <c r="AH166" s="44">
        <v>67</v>
      </c>
    </row>
    <row r="167" spans="1:34" x14ac:dyDescent="0.25">
      <c r="A167" s="24">
        <v>4</v>
      </c>
      <c r="B167" s="9">
        <v>8</v>
      </c>
      <c r="C167" s="9">
        <v>500</v>
      </c>
      <c r="D167" s="9">
        <v>3</v>
      </c>
      <c r="E167" s="9">
        <f t="shared" ref="E167:E169" si="17">B167*C167/60+D167</f>
        <v>69.666666666666671</v>
      </c>
      <c r="F167" s="14">
        <v>140</v>
      </c>
      <c r="G167" s="49">
        <f>H166*(1-AD167*C$5)</f>
        <v>45.666666666666664</v>
      </c>
      <c r="H167" s="50">
        <f>G167+E167</f>
        <v>115.33333333333334</v>
      </c>
      <c r="I167" s="15">
        <f>(H167/D$5)^E$5</f>
        <v>0.27547552976184858</v>
      </c>
      <c r="J167" s="15">
        <f>(G167/D$5)^E$5</f>
        <v>5.5463587496332782E-2</v>
      </c>
      <c r="K167" s="29">
        <f>1-EXP(J167-I167)</f>
        <v>0.19749078587286173</v>
      </c>
      <c r="L167" s="51">
        <f>M166*(1-AE167*C$6)</f>
        <v>45.666666666666664</v>
      </c>
      <c r="M167" s="52">
        <f>L167+E167</f>
        <v>115.33333333333334</v>
      </c>
      <c r="N167" s="17">
        <f>(M167/D$6)^E$6</f>
        <v>0.22666669883015245</v>
      </c>
      <c r="O167" s="17">
        <f>(L167/D$6)^E$6</f>
        <v>3.9715434673642101E-2</v>
      </c>
      <c r="P167" s="32">
        <f>1-EXP(O167-N167)</f>
        <v>0.17051583898942002</v>
      </c>
      <c r="Q167" s="53">
        <f>R166*(1-AF167*C$7)</f>
        <v>45.666666666666664</v>
      </c>
      <c r="R167" s="54">
        <f>Q167+E167</f>
        <v>115.33333333333334</v>
      </c>
      <c r="S167" s="16">
        <f>(R167/D$7)^E$7</f>
        <v>0.59303960801780564</v>
      </c>
      <c r="T167" s="16">
        <f>(Q167/D$7)^E$7</f>
        <v>6.2425173515745024E-2</v>
      </c>
      <c r="U167" s="35">
        <f>1-EXP(T167-S167)</f>
        <v>0.41175657843790647</v>
      </c>
      <c r="V167" s="55">
        <f>W166*(1-AG167*C$8)</f>
        <v>45.666666666666664</v>
      </c>
      <c r="W167" s="56">
        <f>V167+E167</f>
        <v>115.33333333333334</v>
      </c>
      <c r="X167" s="18">
        <f>(W167/D$8)^E$8</f>
        <v>3.2104248826077181E-2</v>
      </c>
      <c r="Y167" s="18">
        <f>(V167/D$8)^E$8</f>
        <v>3.0803709406480337E-3</v>
      </c>
      <c r="Z167" s="38">
        <f>1-EXP(Y167-X167)</f>
        <v>2.8606730627511734E-2</v>
      </c>
      <c r="AA167" s="41">
        <f>K167*P167*U167*Z167</f>
        <v>3.9666176239845391E-4</v>
      </c>
      <c r="AB167" s="42">
        <f>1-AA167</f>
        <v>0.9996033382376015</v>
      </c>
      <c r="AC167" s="47">
        <f>AF167*F$7+E167+AC166</f>
        <v>115.33333333333334</v>
      </c>
      <c r="AD167" s="43">
        <v>0</v>
      </c>
      <c r="AE167" s="1">
        <v>0</v>
      </c>
      <c r="AF167" s="1">
        <v>0</v>
      </c>
      <c r="AG167" s="1">
        <v>0</v>
      </c>
      <c r="AH167" s="44">
        <v>85</v>
      </c>
    </row>
    <row r="168" spans="1:34" x14ac:dyDescent="0.25">
      <c r="A168" s="57">
        <v>2</v>
      </c>
      <c r="B168" s="58">
        <v>9</v>
      </c>
      <c r="C168" s="58">
        <v>500</v>
      </c>
      <c r="D168" s="58">
        <v>2</v>
      </c>
      <c r="E168" s="66">
        <f t="shared" si="17"/>
        <v>77</v>
      </c>
      <c r="F168" s="67">
        <v>76</v>
      </c>
      <c r="G168" s="68">
        <f>H167*(1-AD168*C$5)</f>
        <v>80.733333333333334</v>
      </c>
      <c r="H168" s="69">
        <f>G168+E168</f>
        <v>157.73333333333335</v>
      </c>
      <c r="I168" s="70">
        <f>(H168/D$5)^E$5</f>
        <v>0.473487773687709</v>
      </c>
      <c r="J168" s="70">
        <f>(G168/D$5)^E$5</f>
        <v>0.14862868526677991</v>
      </c>
      <c r="K168" s="29">
        <f>1-EXP(J168-I168)</f>
        <v>0.27737082671398927</v>
      </c>
      <c r="L168" s="51">
        <f>M167*(1-AE168*C$6)</f>
        <v>80.733333333333334</v>
      </c>
      <c r="M168" s="52">
        <f>L168+E168</f>
        <v>157.73333333333335</v>
      </c>
      <c r="N168" s="17">
        <f>(M168/D$6)^E$6</f>
        <v>0.40832762011069829</v>
      </c>
      <c r="O168" s="17">
        <f>(L168/D$6)^E$6</f>
        <v>0.11592364675943075</v>
      </c>
      <c r="P168" s="32">
        <f>1-EXP(O168-N168)</f>
        <v>0.25353307768869848</v>
      </c>
      <c r="Q168" s="53">
        <f>R167*(1-AF168*C$7)</f>
        <v>80.733333333333334</v>
      </c>
      <c r="R168" s="54">
        <f>Q168+E168</f>
        <v>157.73333333333335</v>
      </c>
      <c r="S168" s="16">
        <f>(R168/D$7)^E$7</f>
        <v>1.269075582984684</v>
      </c>
      <c r="T168" s="16">
        <f>(Q168/D$7)^E$7</f>
        <v>0.24927110408438607</v>
      </c>
      <c r="U168" s="35">
        <f>1-EXP(T168-S168)</f>
        <v>0.63933454901472087</v>
      </c>
      <c r="V168" s="55">
        <f>W167*(1-AG168*C$8)</f>
        <v>80.733333333333334</v>
      </c>
      <c r="W168" s="56">
        <f>V168+E168</f>
        <v>157.73333333333335</v>
      </c>
      <c r="X168" s="18">
        <f>(W168/D$8)^E$8</f>
        <v>7.0886439782400334E-2</v>
      </c>
      <c r="Y168" s="18">
        <f>(V168/D$8)^E$8</f>
        <v>1.3021486169574397E-2</v>
      </c>
      <c r="Z168" s="38">
        <f>1-EXP(Y168-X168)</f>
        <v>5.6222607441735239E-2</v>
      </c>
      <c r="AA168" s="41">
        <f>K168*P168*U168*Z168</f>
        <v>2.5277526035094779E-3</v>
      </c>
      <c r="AB168" s="42">
        <f>1-AA168</f>
        <v>0.99747224739649054</v>
      </c>
      <c r="AC168" s="47">
        <f>(AF168*F$7)+E168+AC167</f>
        <v>200.33333333333334</v>
      </c>
      <c r="AD168" s="77">
        <v>1</v>
      </c>
      <c r="AE168" s="78">
        <v>1</v>
      </c>
      <c r="AF168" s="78">
        <v>1</v>
      </c>
      <c r="AG168" s="78">
        <v>1</v>
      </c>
      <c r="AH168" s="79">
        <v>40</v>
      </c>
    </row>
    <row r="169" spans="1:34" ht="15.75" thickBot="1" x14ac:dyDescent="0.3">
      <c r="A169" s="76">
        <v>1</v>
      </c>
      <c r="B169" s="58">
        <v>6</v>
      </c>
      <c r="C169" s="58">
        <v>500</v>
      </c>
      <c r="D169" s="58">
        <v>5</v>
      </c>
      <c r="E169" s="66">
        <f t="shared" si="17"/>
        <v>55</v>
      </c>
      <c r="F169" s="67">
        <v>106</v>
      </c>
      <c r="G169" s="68">
        <f>H168*(1-AD169*C$5)</f>
        <v>110.41333333333334</v>
      </c>
      <c r="H169" s="69">
        <f>G169+E169</f>
        <v>165.41333333333336</v>
      </c>
      <c r="I169" s="70">
        <f>(H169/D$5)^E$5</f>
        <v>0.51407695397697584</v>
      </c>
      <c r="J169" s="70">
        <f>(G169/D$5)^E$5</f>
        <v>0.25546321792697063</v>
      </c>
      <c r="K169" s="29">
        <f>1-EXP(J169-I169)</f>
        <v>0.22787879196136918</v>
      </c>
      <c r="L169" s="51">
        <f>M168*(1-AE169*C$6)</f>
        <v>110.41333333333334</v>
      </c>
      <c r="M169" s="52">
        <f>L169+E169</f>
        <v>165.41333333333336</v>
      </c>
      <c r="N169" s="17">
        <f>(M169/D$6)^E$6</f>
        <v>0.44650381920973092</v>
      </c>
      <c r="O169" s="17">
        <f>(L169/D$6)^E$6</f>
        <v>0.20883008858438834</v>
      </c>
      <c r="P169" s="32">
        <f>1-EXP(O169-N169)</f>
        <v>0.21154010054978001</v>
      </c>
      <c r="Q169" s="53">
        <f>R168*(1-AF169*C$7)</f>
        <v>110.41333333333334</v>
      </c>
      <c r="R169" s="54">
        <f>Q169+E169</f>
        <v>165.41333333333336</v>
      </c>
      <c r="S169" s="16">
        <f>(R169/D$7)^E$7</f>
        <v>1.4244912195012376</v>
      </c>
      <c r="T169" s="16">
        <f>(Q169/D$7)^E$7</f>
        <v>0.53342789833968418</v>
      </c>
      <c r="U169" s="35">
        <f>1-EXP(T169-S169)</f>
        <v>0.58978067412758073</v>
      </c>
      <c r="V169" s="55">
        <f>W168*(1-AG169*C$8)</f>
        <v>110.41333333333334</v>
      </c>
      <c r="W169" s="56">
        <f>V169+E169</f>
        <v>165.41333333333336</v>
      </c>
      <c r="X169" s="18">
        <f>(W169/D$8)^E$8</f>
        <v>7.9946629016579548E-2</v>
      </c>
      <c r="Y169" s="18">
        <f>(V169/D$8)^E$8</f>
        <v>2.8751546259108696E-2</v>
      </c>
      <c r="Z169" s="38">
        <f>1-EXP(Y169-X169)</f>
        <v>4.9906694369650229E-2</v>
      </c>
      <c r="AA169" s="41">
        <f>K169*P169*U169*Z169</f>
        <v>1.4188809480223997E-3</v>
      </c>
      <c r="AB169" s="42">
        <f>1-AA169</f>
        <v>0.99858111905197755</v>
      </c>
      <c r="AC169" s="47">
        <f>(AF169*F$7)+E169+AC168</f>
        <v>263.33333333333337</v>
      </c>
      <c r="AD169" s="80">
        <v>1</v>
      </c>
      <c r="AE169" s="45">
        <v>1</v>
      </c>
      <c r="AF169" s="81">
        <v>1</v>
      </c>
      <c r="AG169" s="45">
        <v>1</v>
      </c>
      <c r="AH169" s="82">
        <v>110</v>
      </c>
    </row>
    <row r="170" spans="1:34" ht="18.75" x14ac:dyDescent="0.3">
      <c r="A170" s="132" t="s">
        <v>53</v>
      </c>
      <c r="B170" s="132"/>
      <c r="C170" s="132"/>
      <c r="D170" s="132"/>
      <c r="E170" s="132"/>
      <c r="F170" s="132"/>
      <c r="G170" s="132"/>
      <c r="H170" s="132"/>
      <c r="I170" s="132"/>
      <c r="J170" s="132"/>
      <c r="AG170" s="46"/>
    </row>
    <row r="171" spans="1:34" ht="15.75" x14ac:dyDescent="0.25">
      <c r="A171" s="19" t="s">
        <v>54</v>
      </c>
      <c r="B171" s="60" t="s">
        <v>49</v>
      </c>
      <c r="C171" s="61" t="s">
        <v>50</v>
      </c>
      <c r="D171" s="19" t="s">
        <v>82</v>
      </c>
      <c r="E171" s="60" t="s">
        <v>57</v>
      </c>
      <c r="F171" s="61" t="s">
        <v>50</v>
      </c>
      <c r="G171" s="19" t="s">
        <v>48</v>
      </c>
      <c r="H171" s="60" t="s">
        <v>61</v>
      </c>
      <c r="I171" s="61" t="s">
        <v>50</v>
      </c>
      <c r="J171" s="19" t="s">
        <v>58</v>
      </c>
      <c r="K171" s="83" t="s">
        <v>84</v>
      </c>
      <c r="L171" s="61" t="s">
        <v>50</v>
      </c>
      <c r="M171" s="61" t="s">
        <v>85</v>
      </c>
      <c r="O171" s="174" t="s">
        <v>64</v>
      </c>
      <c r="P171" s="174"/>
      <c r="Q171" s="175" t="s">
        <v>109</v>
      </c>
      <c r="R171" s="175"/>
    </row>
    <row r="172" spans="1:34" ht="24.75" x14ac:dyDescent="0.25">
      <c r="A172" s="61" t="s">
        <v>51</v>
      </c>
      <c r="B172" s="1">
        <f>AA166</f>
        <v>3.9101438569080559E-7</v>
      </c>
      <c r="C172" s="59">
        <f>MAX(AC166+1*L159-F166,0)</f>
        <v>0</v>
      </c>
      <c r="D172" s="62" t="s">
        <v>55</v>
      </c>
      <c r="E172" s="1">
        <f>AA166*AA167</f>
        <v>1.5510045535126374E-10</v>
      </c>
      <c r="F172" s="1">
        <f>MAX(AC167+2*L159-F167,0)</f>
        <v>0</v>
      </c>
      <c r="G172" s="62" t="s">
        <v>59</v>
      </c>
      <c r="H172" s="1">
        <f>AA166*AA167*AA168</f>
        <v>3.9205557981966247E-13</v>
      </c>
      <c r="I172" s="1">
        <f>AC168+3*L159-F168</f>
        <v>160.33333333333334</v>
      </c>
      <c r="J172" s="62" t="s">
        <v>83</v>
      </c>
      <c r="K172" s="1">
        <f>AA166*AA167*AA168*AA169</f>
        <v>5.5628019277199431E-16</v>
      </c>
      <c r="L172" s="1">
        <f>AC169+4*L159-F169</f>
        <v>205.33333333333337</v>
      </c>
      <c r="M172" s="1">
        <f>B172*C172*AH166+E172*F172*AH167+H172*I172*AH168+K172*L172*AH169</f>
        <v>2.526947633864179E-9</v>
      </c>
      <c r="O172" s="1" t="s">
        <v>27</v>
      </c>
      <c r="P172" s="1">
        <f>2*H157</f>
        <v>3640</v>
      </c>
      <c r="Q172" s="1">
        <f>(K166*(1-P166)*(1-U166)*(1-Z166))+(P166*(1-K166)*(1-U166)*(1-Z166))+(U166*(1-K166)*(1-P166)*(1-Z166))+(Z166*(1-K166)*(1-P166)*(1-U166))</f>
        <v>0.1405459062810282</v>
      </c>
      <c r="R172" s="1">
        <f>Q172*(L$7*(J$5*K$5+L$5)+I$5)</f>
        <v>4953.5404668748388</v>
      </c>
    </row>
    <row r="173" spans="1:34" ht="24.75" x14ac:dyDescent="0.25">
      <c r="A173" s="62" t="s">
        <v>52</v>
      </c>
      <c r="B173" s="1">
        <f>AB166</f>
        <v>0.99999960898561435</v>
      </c>
      <c r="C173" s="59">
        <f>MAX(AC166-F166,0)</f>
        <v>0</v>
      </c>
      <c r="D173" s="62" t="s">
        <v>56</v>
      </c>
      <c r="E173" s="1">
        <f>AA166*AB167+AA167*AB166</f>
        <v>3.9705246658323402E-4</v>
      </c>
      <c r="F173" s="1">
        <f>MAX(AC167+1*L159-F167,0)</f>
        <v>0</v>
      </c>
      <c r="G173" s="62" t="s">
        <v>60</v>
      </c>
      <c r="H173" s="1">
        <f>AA166*AA167*AB168+AA167*AA168*AB166+AA166*AA168*AB167</f>
        <v>1.0038051145354014E-6</v>
      </c>
      <c r="I173" s="1">
        <f>AC168+2*L159-F168</f>
        <v>148.33333333333334</v>
      </c>
      <c r="J173" s="62" t="s">
        <v>59</v>
      </c>
      <c r="K173">
        <f>AB166*AA167*AA168*AA169+AB167*AA166*AA168*AA169*+AB168*AA166*AA167*AA169+AB169*AA166*AA167*AA168</f>
        <v>1.4230500909410984E-9</v>
      </c>
      <c r="L173" s="1">
        <f>AC169+3*L159-F169</f>
        <v>193.33333333333337</v>
      </c>
      <c r="M173" s="1">
        <f>B173*C173*AH166+E173*F173*AH167+H173*I173*AH168+K173*L173*AH169</f>
        <v>5.9861738781773971E-3</v>
      </c>
      <c r="O173" s="1" t="s">
        <v>28</v>
      </c>
      <c r="P173" s="1">
        <f>2*H158</f>
        <v>5440</v>
      </c>
      <c r="Q173" s="1">
        <f t="shared" ref="Q173:Q175" si="18">(K167*(1-P167)*(1-U167)*(1-Z167))+(P167*(1-K167)*(1-U167)*(1-Z167))+(U167*(1-K167)*(1-P167)*(1-Z167))+(Z167*(1-K167)*(1-P167)*(1-U167))</f>
        <v>0.44925379312516944</v>
      </c>
      <c r="R173" s="1">
        <f t="shared" ref="R173:R175" si="19">Q173*(L$7*(J$5*K$5+L$5)+I$5)</f>
        <v>15833.949938696596</v>
      </c>
    </row>
    <row r="174" spans="1:34" ht="24.75" x14ac:dyDescent="0.25">
      <c r="A174" s="1"/>
      <c r="B174" s="1"/>
      <c r="C174" s="1"/>
      <c r="D174" s="62" t="s">
        <v>52</v>
      </c>
      <c r="E174" s="1">
        <f>AB166*AB167</f>
        <v>0.99960294737831634</v>
      </c>
      <c r="F174" s="59">
        <f>MAX(AC167-F167,0)</f>
        <v>0</v>
      </c>
      <c r="G174" s="62" t="s">
        <v>56</v>
      </c>
      <c r="H174" s="1">
        <f>AA166*AB167*AB168+AA167*AB166*AB168*+AA168*AB166*AB167</f>
        <v>1.3896021142847831E-6</v>
      </c>
      <c r="I174" s="1">
        <f>AC168+1*L159-F168</f>
        <v>136.33333333333334</v>
      </c>
      <c r="J174" s="62" t="s">
        <v>60</v>
      </c>
      <c r="K174" s="1">
        <f>AA166*AA167*AB168*AB169 + AA166*AA168*AB167*AB169 + AA166*AA169*AB167*AB168 + AA167*AA168*AB166*AB169 + AA167*AA169*AB166*AB168 + AA168*AA169*AB166*AB167</f>
        <v>5.1494829037809668E-6</v>
      </c>
      <c r="L174" s="1">
        <f>AC169+2*L159-F169</f>
        <v>181.33333333333337</v>
      </c>
      <c r="M174" s="1">
        <f>B174*C174*AH166+E174*F174*AH167+H174*I174*AH168+K174*L174*AH169</f>
        <v>0.11029298251731739</v>
      </c>
      <c r="O174" s="1" t="s">
        <v>29</v>
      </c>
      <c r="P174" s="1">
        <f>2*(F159*(J157*K157+L157)+H159)</f>
        <v>28200</v>
      </c>
      <c r="Q174" s="1">
        <f t="shared" si="18"/>
        <v>0.46925700017752564</v>
      </c>
      <c r="R174" s="1">
        <f t="shared" si="19"/>
        <v>16538.962971256889</v>
      </c>
    </row>
    <row r="175" spans="1:34" ht="24.75" x14ac:dyDescent="0.25">
      <c r="A175" s="1"/>
      <c r="B175" s="1"/>
      <c r="C175" s="1"/>
      <c r="D175" s="1"/>
      <c r="E175" s="1"/>
      <c r="F175" s="1"/>
      <c r="G175" s="62" t="s">
        <v>52</v>
      </c>
      <c r="H175" s="1">
        <f>AB166*AB167*AB168</f>
        <v>0.99707619842560502</v>
      </c>
      <c r="I175" s="63">
        <f>AC168-F168</f>
        <v>124.33333333333334</v>
      </c>
      <c r="J175" s="62" t="s">
        <v>56</v>
      </c>
      <c r="K175" s="1">
        <f>AA166*AB167*AB168*AB169+AA167*AB166*AB168*AB169+AA168*AB166*AB167*AB169+AA169*AB166*AB167*AB168</f>
        <v>4.3333830884918793E-3</v>
      </c>
      <c r="L175" s="1">
        <f>AC169+1*L159-F169</f>
        <v>169.33333333333337</v>
      </c>
      <c r="M175" s="1">
        <f>B175*C175*AH166+E175*F175*AH167+H175*I175*AH168+K175*L175*AH169</f>
        <v>5039.5087758316513</v>
      </c>
      <c r="O175" s="1" t="s">
        <v>30</v>
      </c>
      <c r="P175" s="1">
        <f>2*H160</f>
        <v>8640</v>
      </c>
      <c r="Q175" s="1">
        <f t="shared" si="18"/>
        <v>0.48728121972076005</v>
      </c>
      <c r="R175" s="1">
        <f t="shared" si="19"/>
        <v>17174.226589058188</v>
      </c>
    </row>
    <row r="176" spans="1:34" ht="30" x14ac:dyDescent="0.25">
      <c r="I176" s="84"/>
      <c r="J176" s="62" t="s">
        <v>52</v>
      </c>
      <c r="K176" s="85">
        <f>AB166*AB167*AB168*AB169</f>
        <v>0.99566146600393224</v>
      </c>
      <c r="L176" s="1">
        <f>AC169+0*L159-F169</f>
        <v>157.33333333333337</v>
      </c>
      <c r="M176" s="1">
        <f>B176*C176*AH166+E176*F176*AH167+H176*I176*AH168+K176*L176*AH169</f>
        <v>17231.581104974724</v>
      </c>
      <c r="O176" s="64" t="s">
        <v>65</v>
      </c>
      <c r="P176" s="65">
        <f>SUM(P172:P175)</f>
        <v>45920</v>
      </c>
      <c r="Q176" s="96" t="s">
        <v>108</v>
      </c>
      <c r="R176" s="97">
        <f>SUM(R172:R175)</f>
        <v>54500.67996588652</v>
      </c>
    </row>
    <row r="177" spans="1:20" x14ac:dyDescent="0.25">
      <c r="L177" s="176" t="s">
        <v>63</v>
      </c>
      <c r="M177" s="177">
        <f>SUM(M172:M176)</f>
        <v>22271.206159965299</v>
      </c>
    </row>
    <row r="178" spans="1:20" x14ac:dyDescent="0.25">
      <c r="L178" s="176"/>
      <c r="M178" s="177"/>
    </row>
    <row r="179" spans="1:20" x14ac:dyDescent="0.25">
      <c r="A179" s="178" t="s">
        <v>90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</row>
    <row r="180" spans="1:20" ht="15.75" x14ac:dyDescent="0.25">
      <c r="A180" s="87" t="s">
        <v>76</v>
      </c>
      <c r="B180" s="62" t="s">
        <v>49</v>
      </c>
      <c r="C180" s="90" t="s">
        <v>102</v>
      </c>
      <c r="D180" s="62" t="s">
        <v>88</v>
      </c>
      <c r="E180" s="87" t="s">
        <v>86</v>
      </c>
      <c r="F180" s="62" t="s">
        <v>57</v>
      </c>
      <c r="G180" s="90" t="s">
        <v>103</v>
      </c>
      <c r="H180" s="62" t="s">
        <v>88</v>
      </c>
      <c r="I180" s="87" t="s">
        <v>75</v>
      </c>
      <c r="J180" s="62" t="s">
        <v>61</v>
      </c>
      <c r="K180" s="90" t="s">
        <v>87</v>
      </c>
      <c r="L180" s="62" t="s">
        <v>88</v>
      </c>
      <c r="M180" s="87" t="s">
        <v>77</v>
      </c>
      <c r="N180" s="62" t="s">
        <v>84</v>
      </c>
      <c r="O180" s="90" t="s">
        <v>78</v>
      </c>
      <c r="P180" s="62" t="s">
        <v>88</v>
      </c>
    </row>
    <row r="181" spans="1:20" ht="24.75" x14ac:dyDescent="0.25">
      <c r="A181" s="62" t="s">
        <v>51</v>
      </c>
      <c r="B181" s="86">
        <v>3.9101438569080559E-7</v>
      </c>
      <c r="C181" s="86">
        <f>AC166+1*L159</f>
        <v>57.666666666666664</v>
      </c>
      <c r="D181" s="86">
        <f>MAX(B181*1.5*((C181-F166)*500/2),0)</f>
        <v>0</v>
      </c>
      <c r="E181" s="62" t="s">
        <v>55</v>
      </c>
      <c r="F181" s="86">
        <v>1.5510045535126374E-10</v>
      </c>
      <c r="G181" s="86">
        <f>AC167+2*L159</f>
        <v>139.33333333333334</v>
      </c>
      <c r="H181" s="86">
        <f>F181*1.5*((G181-F168)*500 + (G181-F169)*500)</f>
        <v>1.1244783012966622E-5</v>
      </c>
      <c r="I181" s="62" t="s">
        <v>59</v>
      </c>
      <c r="J181" s="86">
        <v>3.9205557981966247E-13</v>
      </c>
      <c r="K181" s="86">
        <f>AC168+3*L159</f>
        <v>236.33333333333334</v>
      </c>
      <c r="L181" s="86">
        <f>J181*1.5*((K181-G181)*500/2+(K181-G181)*500)</f>
        <v>4.2783065147820667E-8</v>
      </c>
      <c r="M181" s="62" t="s">
        <v>83</v>
      </c>
      <c r="N181" s="86">
        <v>5.5628019277199431E-16</v>
      </c>
      <c r="O181" s="86">
        <f>AC169+4*L159</f>
        <v>311.33333333333337</v>
      </c>
      <c r="P181" s="86">
        <f>N181*1.5*((O181-K181)*500/2)</f>
        <v>1.5645380421712345E-11</v>
      </c>
    </row>
    <row r="182" spans="1:20" ht="24.75" x14ac:dyDescent="0.25">
      <c r="A182" s="62" t="s">
        <v>52</v>
      </c>
      <c r="B182" s="86">
        <v>0.99999960898561435</v>
      </c>
      <c r="C182" s="88">
        <f>AC166</f>
        <v>45.666666666666664</v>
      </c>
      <c r="D182" s="86">
        <f>MAX(B182*1.5*((C182-F166)*500/2),0)</f>
        <v>0</v>
      </c>
      <c r="E182" s="62" t="s">
        <v>56</v>
      </c>
      <c r="F182" s="86">
        <v>3.9705246658323402E-4</v>
      </c>
      <c r="G182" s="86">
        <f>AC167+1*L159</f>
        <v>127.33333333333334</v>
      </c>
      <c r="H182" s="86">
        <f>F182*1.5*((G182-F168)*500+(G182-F169)*500)</f>
        <v>21.639359428786261</v>
      </c>
      <c r="I182" s="62" t="s">
        <v>60</v>
      </c>
      <c r="J182" s="86">
        <v>1.0038051145354014E-6</v>
      </c>
      <c r="K182" s="86">
        <f>AC168+2*L159</f>
        <v>224.33333333333334</v>
      </c>
      <c r="L182" s="86">
        <f>J182*1.5*((K182-G182)*500/2+(K182-G182)*500)</f>
        <v>0.10954023312367568</v>
      </c>
      <c r="M182" s="62" t="s">
        <v>59</v>
      </c>
      <c r="N182" s="86">
        <v>1.4230500909410984E-9</v>
      </c>
      <c r="O182" s="86">
        <f>AC169+3*L159</f>
        <v>299.33333333333337</v>
      </c>
      <c r="P182" s="86">
        <f>N182*1.5*((O182-K182)*500/2)</f>
        <v>4.0023283807718408E-5</v>
      </c>
    </row>
    <row r="183" spans="1:20" x14ac:dyDescent="0.25">
      <c r="A183" s="86"/>
      <c r="B183" s="86"/>
      <c r="C183" s="89" t="s">
        <v>89</v>
      </c>
      <c r="D183" s="89">
        <f>SUM(D181:D182)</f>
        <v>0</v>
      </c>
      <c r="E183" s="62" t="s">
        <v>52</v>
      </c>
      <c r="F183" s="86">
        <v>0.99960294737831634</v>
      </c>
      <c r="G183" s="86">
        <f>AC167+0*L159</f>
        <v>115.33333333333334</v>
      </c>
      <c r="H183" s="86">
        <f>F183*1.5*((G183-F168)*500+(G183-F169)*500)</f>
        <v>36485.507579308556</v>
      </c>
      <c r="I183" s="62" t="s">
        <v>56</v>
      </c>
      <c r="J183" s="86">
        <v>1.3896021142847831E-6</v>
      </c>
      <c r="K183" s="86">
        <f>AC168+1*L159</f>
        <v>212.33333333333334</v>
      </c>
      <c r="L183" s="86">
        <f>J183*1.5*((K183-G183)*500/2+(K183-G183)*500)</f>
        <v>0.15164033072132693</v>
      </c>
      <c r="M183" s="62" t="s">
        <v>60</v>
      </c>
      <c r="N183" s="86">
        <v>5.1494829037809668E-6</v>
      </c>
      <c r="O183" s="86">
        <f>AC169+2*L159</f>
        <v>287.33333333333337</v>
      </c>
      <c r="P183" s="86">
        <f>N183*1.5*((O183-K183)*500/2)</f>
        <v>0.14482920666883975</v>
      </c>
    </row>
    <row r="184" spans="1:20" x14ac:dyDescent="0.25">
      <c r="A184" s="86"/>
      <c r="B184" s="86"/>
      <c r="C184" s="86"/>
      <c r="D184" s="86"/>
      <c r="E184" s="86"/>
      <c r="F184" s="86"/>
      <c r="G184" s="89" t="s">
        <v>79</v>
      </c>
      <c r="H184" s="89">
        <f>SUM(H181:H183)</f>
        <v>36507.146949982125</v>
      </c>
      <c r="I184" s="62" t="s">
        <v>52</v>
      </c>
      <c r="J184" s="86">
        <v>0.99707619842560502</v>
      </c>
      <c r="K184" s="86">
        <f>AC168+0*L159</f>
        <v>200.33333333333334</v>
      </c>
      <c r="L184" s="86">
        <f>J184*1.5*((K184-G183)*500/2+(K184-G183)*500)</f>
        <v>95345.411474448483</v>
      </c>
      <c r="M184" s="62" t="s">
        <v>56</v>
      </c>
      <c r="N184" s="86">
        <v>4.3333830884918793E-3</v>
      </c>
      <c r="O184" s="86">
        <f>AC169+1*L159</f>
        <v>275.33333333333337</v>
      </c>
      <c r="P184" s="86">
        <f>N184*1.5*((O184-K184)*500/2)</f>
        <v>121.87639936383414</v>
      </c>
    </row>
    <row r="185" spans="1:20" x14ac:dyDescent="0.25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9" t="s">
        <v>79</v>
      </c>
      <c r="L185" s="89">
        <f>SUM(L181:L184)</f>
        <v>95345.67265505511</v>
      </c>
      <c r="M185" s="62" t="s">
        <v>52</v>
      </c>
      <c r="N185" s="86">
        <v>0.99566146600393224</v>
      </c>
      <c r="O185" s="86">
        <f>AC169+0*L159</f>
        <v>263.33333333333337</v>
      </c>
      <c r="P185" s="86">
        <f>N185*1.5*((O185-K184)*500/2)</f>
        <v>23522.502134342907</v>
      </c>
      <c r="Q185" s="179" t="s">
        <v>80</v>
      </c>
      <c r="R185" s="179"/>
      <c r="S185" s="180">
        <f>D183+H184+L185+P186</f>
        <v>155497.34300797392</v>
      </c>
      <c r="T185" s="180"/>
    </row>
    <row r="186" spans="1:20" x14ac:dyDescent="0.25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9" t="s">
        <v>79</v>
      </c>
      <c r="P186" s="89">
        <f>SUM(P181:P185)</f>
        <v>23644.523402936709</v>
      </c>
      <c r="Q186" s="179"/>
      <c r="R186" s="179"/>
      <c r="S186" s="180"/>
      <c r="T186" s="180"/>
    </row>
    <row r="187" spans="1:20" x14ac:dyDescent="0.25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</row>
    <row r="188" spans="1:20" x14ac:dyDescent="0.25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</row>
    <row r="189" spans="1:20" x14ac:dyDescent="0.25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</row>
    <row r="190" spans="1:20" ht="24.75" thickBot="1" x14ac:dyDescent="0.3">
      <c r="O190" s="131" t="s">
        <v>81</v>
      </c>
      <c r="P190" s="131"/>
      <c r="Q190" s="131">
        <f>(R176+P176+M177+S185)/AC169</f>
        <v>1056.414794179085</v>
      </c>
      <c r="R190" s="131"/>
    </row>
    <row r="191" spans="1:20" x14ac:dyDescent="0.25">
      <c r="A191" s="181" t="s">
        <v>96</v>
      </c>
      <c r="B191" s="182"/>
    </row>
    <row r="192" spans="1:20" ht="15.75" thickBot="1" x14ac:dyDescent="0.3">
      <c r="A192" s="183"/>
      <c r="B192" s="184"/>
    </row>
    <row r="193" spans="1:34" ht="21" x14ac:dyDescent="0.35">
      <c r="A193" s="185" t="s">
        <v>14</v>
      </c>
      <c r="B193" s="18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O193" s="166" t="s">
        <v>72</v>
      </c>
      <c r="P193" s="166"/>
      <c r="Q193" s="166"/>
      <c r="R193" s="166"/>
      <c r="S193" s="166"/>
      <c r="T193" s="166"/>
      <c r="U193" s="166"/>
      <c r="V193" s="166"/>
    </row>
    <row r="194" spans="1:34" ht="36" x14ac:dyDescent="0.25">
      <c r="A194" s="4" t="s">
        <v>15</v>
      </c>
      <c r="B194" s="4" t="s">
        <v>16</v>
      </c>
      <c r="C194" s="4" t="s">
        <v>31</v>
      </c>
      <c r="D194" s="6" t="s">
        <v>17</v>
      </c>
      <c r="E194" s="6" t="s">
        <v>18</v>
      </c>
      <c r="F194" s="6" t="s">
        <v>19</v>
      </c>
      <c r="G194" s="6" t="s">
        <v>20</v>
      </c>
      <c r="H194" s="6" t="s">
        <v>21</v>
      </c>
      <c r="I194" s="6" t="s">
        <v>22</v>
      </c>
      <c r="J194" s="6" t="s">
        <v>23</v>
      </c>
      <c r="K194" s="6" t="s">
        <v>24</v>
      </c>
      <c r="L194" s="6" t="s">
        <v>25</v>
      </c>
      <c r="M194" s="6" t="s">
        <v>26</v>
      </c>
      <c r="N194" s="8"/>
      <c r="O194" s="167" t="s">
        <v>32</v>
      </c>
      <c r="P194" s="167" t="s">
        <v>35</v>
      </c>
      <c r="Q194" s="167" t="s">
        <v>66</v>
      </c>
      <c r="R194" s="99" t="s">
        <v>67</v>
      </c>
      <c r="S194" s="99" t="s">
        <v>68</v>
      </c>
      <c r="T194" s="167" t="s">
        <v>69</v>
      </c>
      <c r="U194" s="71" t="s">
        <v>33</v>
      </c>
      <c r="V194" s="99" t="s">
        <v>70</v>
      </c>
    </row>
    <row r="195" spans="1:34" x14ac:dyDescent="0.25">
      <c r="A195" s="3" t="s">
        <v>27</v>
      </c>
      <c r="B195" s="3">
        <v>0</v>
      </c>
      <c r="C195" s="3">
        <v>0.3</v>
      </c>
      <c r="D195" s="3">
        <v>243</v>
      </c>
      <c r="E195" s="3">
        <v>1.73</v>
      </c>
      <c r="F195" s="3">
        <v>5</v>
      </c>
      <c r="G195" s="169">
        <v>12</v>
      </c>
      <c r="H195" s="3">
        <v>1820</v>
      </c>
      <c r="I195" s="169">
        <v>19645</v>
      </c>
      <c r="J195" s="3">
        <v>20</v>
      </c>
      <c r="K195" s="3">
        <v>40</v>
      </c>
      <c r="L195" s="3">
        <v>500</v>
      </c>
      <c r="M195" s="3">
        <v>1000</v>
      </c>
      <c r="O195" s="168"/>
      <c r="P195" s="168"/>
      <c r="Q195" s="168"/>
      <c r="R195" s="72" t="s">
        <v>71</v>
      </c>
      <c r="S195" s="72" t="s">
        <v>71</v>
      </c>
      <c r="T195" s="168"/>
      <c r="U195" s="73">
        <v>500</v>
      </c>
      <c r="V195" s="3">
        <v>1.5</v>
      </c>
    </row>
    <row r="196" spans="1:34" x14ac:dyDescent="0.25">
      <c r="A196" s="3" t="s">
        <v>28</v>
      </c>
      <c r="B196" s="3">
        <v>0</v>
      </c>
      <c r="C196" s="3">
        <v>0.3</v>
      </c>
      <c r="D196" s="3">
        <v>254</v>
      </c>
      <c r="E196" s="3">
        <v>1.88</v>
      </c>
      <c r="F196" s="3">
        <v>3</v>
      </c>
      <c r="G196" s="170"/>
      <c r="H196" s="3">
        <v>2720</v>
      </c>
      <c r="I196" s="170"/>
      <c r="J196" s="5"/>
      <c r="K196" s="5"/>
      <c r="L196" s="5"/>
      <c r="M196" s="5"/>
      <c r="O196" s="74">
        <v>1</v>
      </c>
      <c r="P196" s="74">
        <v>106</v>
      </c>
      <c r="Q196" s="74">
        <v>110</v>
      </c>
      <c r="R196" s="74">
        <v>6</v>
      </c>
      <c r="S196" s="74">
        <v>5</v>
      </c>
      <c r="T196" s="74">
        <f>R196*$U$5/60+S196</f>
        <v>55</v>
      </c>
      <c r="U196" s="75"/>
    </row>
    <row r="197" spans="1:34" x14ac:dyDescent="0.25">
      <c r="A197" s="3" t="s">
        <v>29</v>
      </c>
      <c r="B197" s="3">
        <v>0</v>
      </c>
      <c r="C197" s="3">
        <v>0.3</v>
      </c>
      <c r="D197" s="3">
        <v>143</v>
      </c>
      <c r="E197" s="3">
        <v>2.4300000000000002</v>
      </c>
      <c r="F197" s="3">
        <v>8</v>
      </c>
      <c r="G197" s="170"/>
      <c r="H197" s="3">
        <v>3700</v>
      </c>
      <c r="I197" s="170"/>
      <c r="J197" s="5"/>
      <c r="K197" s="140" t="s">
        <v>73</v>
      </c>
      <c r="L197" s="141">
        <v>12</v>
      </c>
      <c r="M197" s="140" t="s">
        <v>74</v>
      </c>
      <c r="N197" s="141">
        <v>19645</v>
      </c>
      <c r="O197" s="74">
        <v>2</v>
      </c>
      <c r="P197" s="74">
        <v>76</v>
      </c>
      <c r="Q197" s="74">
        <v>40</v>
      </c>
      <c r="R197" s="74">
        <v>9</v>
      </c>
      <c r="S197" s="74">
        <v>2</v>
      </c>
      <c r="T197" s="74">
        <f t="shared" ref="T197:T199" si="20">R197*$U$5/60+S197</f>
        <v>77</v>
      </c>
      <c r="U197" s="75"/>
    </row>
    <row r="198" spans="1:34" x14ac:dyDescent="0.25">
      <c r="A198" s="3" t="s">
        <v>30</v>
      </c>
      <c r="B198" s="3">
        <v>0</v>
      </c>
      <c r="C198" s="3">
        <v>0.3</v>
      </c>
      <c r="D198" s="3">
        <v>449</v>
      </c>
      <c r="E198" s="3">
        <v>2.5299999999999998</v>
      </c>
      <c r="F198" s="3">
        <v>4</v>
      </c>
      <c r="G198" s="171"/>
      <c r="H198" s="3">
        <v>4320</v>
      </c>
      <c r="I198" s="171"/>
      <c r="J198" s="5"/>
      <c r="K198" s="140"/>
      <c r="L198" s="141"/>
      <c r="M198" s="140"/>
      <c r="N198" s="141"/>
      <c r="O198" s="74">
        <v>3</v>
      </c>
      <c r="P198" s="74">
        <v>95</v>
      </c>
      <c r="Q198" s="74">
        <v>67</v>
      </c>
      <c r="R198" s="74">
        <v>5</v>
      </c>
      <c r="S198" s="74">
        <v>4</v>
      </c>
      <c r="T198" s="74">
        <f t="shared" si="20"/>
        <v>45.666666666666664</v>
      </c>
      <c r="U198" s="75"/>
    </row>
    <row r="199" spans="1:34" ht="15.75" thickBo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O199" s="74">
        <v>4</v>
      </c>
      <c r="P199" s="74">
        <v>140</v>
      </c>
      <c r="Q199" s="94">
        <v>85</v>
      </c>
      <c r="R199" s="94">
        <v>8</v>
      </c>
      <c r="S199" s="94">
        <v>3</v>
      </c>
      <c r="T199" s="74">
        <f t="shared" si="20"/>
        <v>69.666666666666671</v>
      </c>
    </row>
    <row r="200" spans="1:34" ht="15" customHeight="1" x14ac:dyDescent="0.25">
      <c r="A200" s="142" t="s">
        <v>100</v>
      </c>
      <c r="B200" s="144" t="s">
        <v>129</v>
      </c>
      <c r="C200" s="144"/>
      <c r="D200" s="144"/>
      <c r="E200" s="144"/>
      <c r="F200" s="20" t="s">
        <v>27</v>
      </c>
      <c r="G200" s="20" t="s">
        <v>28</v>
      </c>
      <c r="H200" s="20" t="s">
        <v>29</v>
      </c>
      <c r="I200" s="20" t="s">
        <v>30</v>
      </c>
    </row>
    <row r="201" spans="1:34" ht="15.75" customHeight="1" thickBot="1" x14ac:dyDescent="0.3">
      <c r="A201" s="143"/>
      <c r="B201" s="145"/>
      <c r="C201" s="145"/>
      <c r="D201" s="145"/>
      <c r="E201" s="145"/>
      <c r="F201" s="20">
        <v>91</v>
      </c>
      <c r="G201" s="26">
        <v>91</v>
      </c>
      <c r="H201" s="26">
        <v>91</v>
      </c>
      <c r="I201" s="26">
        <v>91</v>
      </c>
    </row>
    <row r="202" spans="1:34" ht="15.75" customHeight="1" thickBot="1" x14ac:dyDescent="0.3">
      <c r="A202" s="143"/>
      <c r="B202" s="145"/>
      <c r="C202" s="145"/>
      <c r="D202" s="145"/>
      <c r="E202" s="145"/>
      <c r="F202" s="7"/>
      <c r="G202" s="146" t="s">
        <v>27</v>
      </c>
      <c r="H202" s="147"/>
      <c r="I202" s="147"/>
      <c r="J202" s="147"/>
      <c r="K202" s="148"/>
      <c r="L202" s="149" t="s">
        <v>28</v>
      </c>
      <c r="M202" s="150"/>
      <c r="N202" s="150"/>
      <c r="O202" s="150"/>
      <c r="P202" s="151"/>
      <c r="Q202" s="152" t="s">
        <v>29</v>
      </c>
      <c r="R202" s="153"/>
      <c r="S202" s="153"/>
      <c r="T202" s="153"/>
      <c r="U202" s="154"/>
      <c r="V202" s="155" t="s">
        <v>30</v>
      </c>
      <c r="W202" s="156"/>
      <c r="X202" s="156"/>
      <c r="Y202" s="156"/>
      <c r="Z202" s="157"/>
      <c r="AA202" s="158" t="s">
        <v>42</v>
      </c>
      <c r="AB202" s="159"/>
      <c r="AC202" s="160" t="s">
        <v>44</v>
      </c>
      <c r="AD202" s="162" t="s">
        <v>47</v>
      </c>
      <c r="AE202" s="163"/>
      <c r="AF202" s="163"/>
      <c r="AG202" s="164"/>
      <c r="AH202" s="138" t="s">
        <v>62</v>
      </c>
    </row>
    <row r="203" spans="1:34" ht="36.75" x14ac:dyDescent="0.25">
      <c r="A203" s="21" t="s">
        <v>32</v>
      </c>
      <c r="B203" s="22" t="s">
        <v>37</v>
      </c>
      <c r="C203" s="23" t="s">
        <v>33</v>
      </c>
      <c r="D203" s="22" t="s">
        <v>38</v>
      </c>
      <c r="E203" s="22" t="s">
        <v>34</v>
      </c>
      <c r="F203" s="25" t="s">
        <v>35</v>
      </c>
      <c r="G203" s="27" t="s">
        <v>39</v>
      </c>
      <c r="H203" s="10" t="s">
        <v>40</v>
      </c>
      <c r="I203" s="10" t="s">
        <v>45</v>
      </c>
      <c r="J203" s="10" t="s">
        <v>46</v>
      </c>
      <c r="K203" s="28" t="s">
        <v>41</v>
      </c>
      <c r="L203" s="30" t="s">
        <v>39</v>
      </c>
      <c r="M203" s="13" t="s">
        <v>40</v>
      </c>
      <c r="N203" s="13" t="s">
        <v>45</v>
      </c>
      <c r="O203" s="13" t="s">
        <v>46</v>
      </c>
      <c r="P203" s="31" t="s">
        <v>41</v>
      </c>
      <c r="Q203" s="33" t="s">
        <v>39</v>
      </c>
      <c r="R203" s="12" t="s">
        <v>40</v>
      </c>
      <c r="S203" s="12" t="s">
        <v>45</v>
      </c>
      <c r="T203" s="12" t="s">
        <v>46</v>
      </c>
      <c r="U203" s="34" t="s">
        <v>41</v>
      </c>
      <c r="V203" s="36" t="s">
        <v>39</v>
      </c>
      <c r="W203" s="11" t="s">
        <v>40</v>
      </c>
      <c r="X203" s="11" t="s">
        <v>45</v>
      </c>
      <c r="Y203" s="11" t="s">
        <v>46</v>
      </c>
      <c r="Z203" s="37" t="s">
        <v>41</v>
      </c>
      <c r="AA203" s="39" t="s">
        <v>41</v>
      </c>
      <c r="AB203" s="40" t="s">
        <v>43</v>
      </c>
      <c r="AC203" s="161"/>
      <c r="AD203" s="43" t="s">
        <v>27</v>
      </c>
      <c r="AE203" s="1" t="s">
        <v>28</v>
      </c>
      <c r="AF203" s="1" t="s">
        <v>29</v>
      </c>
      <c r="AG203" s="1" t="s">
        <v>30</v>
      </c>
      <c r="AH203" s="139"/>
    </row>
    <row r="204" spans="1:34" x14ac:dyDescent="0.25">
      <c r="A204" s="24">
        <v>3</v>
      </c>
      <c r="B204" s="9">
        <v>5</v>
      </c>
      <c r="C204" s="9">
        <v>500</v>
      </c>
      <c r="D204" s="9">
        <v>4</v>
      </c>
      <c r="E204" s="48">
        <f>B204*C204/60+D204</f>
        <v>45.666666666666664</v>
      </c>
      <c r="F204" s="14">
        <v>95</v>
      </c>
      <c r="G204" s="49">
        <f>B$5*(1-AD204*C$5)</f>
        <v>0</v>
      </c>
      <c r="H204" s="50">
        <f>G204+E204</f>
        <v>45.666666666666664</v>
      </c>
      <c r="I204" s="15">
        <f>(H204/D$5)^E$5</f>
        <v>5.5463587496332782E-2</v>
      </c>
      <c r="J204" s="15">
        <f>(G204/D$5)^E$5</f>
        <v>0</v>
      </c>
      <c r="K204" s="29">
        <f>1-EXP(J204-I204)</f>
        <v>5.3953529036131931E-2</v>
      </c>
      <c r="L204" s="51">
        <f>B$6*(1-AE204*C$6)</f>
        <v>0</v>
      </c>
      <c r="M204" s="52">
        <f>L204+E204</f>
        <v>45.666666666666664</v>
      </c>
      <c r="N204" s="17">
        <f>(M204/D$6)^E$6</f>
        <v>3.9715434673642101E-2</v>
      </c>
      <c r="O204" s="17">
        <f>(L204/D$6)^E$6</f>
        <v>0</v>
      </c>
      <c r="P204" s="32">
        <f>1-EXP(O204-N204)</f>
        <v>3.8937114582545562E-2</v>
      </c>
      <c r="Q204" s="53">
        <f>B$7*(1-AF204*C$7)</f>
        <v>0</v>
      </c>
      <c r="R204" s="54">
        <f>Q204+E204</f>
        <v>45.666666666666664</v>
      </c>
      <c r="S204" s="16">
        <f>(R204/D$7)^E$7</f>
        <v>6.2425173515745024E-2</v>
      </c>
      <c r="T204" s="16">
        <f>(Q204/D$7)^E$7</f>
        <v>0</v>
      </c>
      <c r="U204" s="35">
        <f>1-EXP(T204-S204)</f>
        <v>6.0516641579816954E-2</v>
      </c>
      <c r="V204" s="55">
        <f>B$8*(1-AG204*C$8)</f>
        <v>0</v>
      </c>
      <c r="W204" s="56">
        <f>V204+E204</f>
        <v>45.666666666666664</v>
      </c>
      <c r="X204" s="18">
        <f>(W204/D$8)^E$8</f>
        <v>3.0803709406480337E-3</v>
      </c>
      <c r="Y204" s="18">
        <f>(V204/D$8)^E$8</f>
        <v>0</v>
      </c>
      <c r="Z204" s="38">
        <f>1-EXP(Y204-X204)</f>
        <v>3.0756314657778283E-3</v>
      </c>
      <c r="AA204" s="41">
        <f>K204*P204*U204*Z204</f>
        <v>3.9101438569080559E-7</v>
      </c>
      <c r="AB204" s="42">
        <f>1-AA204</f>
        <v>0.99999960898561435</v>
      </c>
      <c r="AC204" s="47">
        <f>(AD204*F$5+AE204*F$6+AF204*F$7+AG204*F$8)+E204</f>
        <v>45.666666666666664</v>
      </c>
      <c r="AD204" s="43">
        <v>0</v>
      </c>
      <c r="AE204" s="1">
        <v>0</v>
      </c>
      <c r="AF204" s="1">
        <v>0</v>
      </c>
      <c r="AG204" s="1">
        <v>0</v>
      </c>
      <c r="AH204" s="44">
        <v>67</v>
      </c>
    </row>
    <row r="205" spans="1:34" x14ac:dyDescent="0.25">
      <c r="A205" s="24">
        <v>4</v>
      </c>
      <c r="B205" s="9">
        <v>8</v>
      </c>
      <c r="C205" s="9">
        <v>500</v>
      </c>
      <c r="D205" s="9">
        <v>3</v>
      </c>
      <c r="E205" s="9">
        <f t="shared" ref="E205:E207" si="21">B205*C205/60+D205</f>
        <v>69.666666666666671</v>
      </c>
      <c r="F205" s="14">
        <v>140</v>
      </c>
      <c r="G205" s="49">
        <f>H204*(1-AD205*C$5)</f>
        <v>45.666666666666664</v>
      </c>
      <c r="H205" s="50">
        <f>G205+E205</f>
        <v>115.33333333333334</v>
      </c>
      <c r="I205" s="15">
        <f>(H205/D$5)^E$5</f>
        <v>0.27547552976184858</v>
      </c>
      <c r="J205" s="15">
        <f>(G205/D$5)^E$5</f>
        <v>5.5463587496332782E-2</v>
      </c>
      <c r="K205" s="29">
        <f>1-EXP(J205-I205)</f>
        <v>0.19749078587286173</v>
      </c>
      <c r="L205" s="51">
        <f>M204*(1-AE205*C$6)</f>
        <v>45.666666666666664</v>
      </c>
      <c r="M205" s="52">
        <f>L205+E205</f>
        <v>115.33333333333334</v>
      </c>
      <c r="N205" s="17">
        <f>(M205/D$6)^E$6</f>
        <v>0.22666669883015245</v>
      </c>
      <c r="O205" s="17">
        <f>(L205/D$6)^E$6</f>
        <v>3.9715434673642101E-2</v>
      </c>
      <c r="P205" s="32">
        <f>1-EXP(O205-N205)</f>
        <v>0.17051583898942002</v>
      </c>
      <c r="Q205" s="53">
        <f>R204*(1-AF205*C$7)</f>
        <v>45.666666666666664</v>
      </c>
      <c r="R205" s="54">
        <f>Q205+E205</f>
        <v>115.33333333333334</v>
      </c>
      <c r="S205" s="16">
        <f>(R205/D$7)^E$7</f>
        <v>0.59303960801780564</v>
      </c>
      <c r="T205" s="16">
        <f>(Q205/D$7)^E$7</f>
        <v>6.2425173515745024E-2</v>
      </c>
      <c r="U205" s="35">
        <f>1-EXP(T205-S205)</f>
        <v>0.41175657843790647</v>
      </c>
      <c r="V205" s="55">
        <f>W204*(1-AG205*C$8)</f>
        <v>45.666666666666664</v>
      </c>
      <c r="W205" s="56">
        <f>V205+E205</f>
        <v>115.33333333333334</v>
      </c>
      <c r="X205" s="18">
        <f>(W205/D$8)^E$8</f>
        <v>3.2104248826077181E-2</v>
      </c>
      <c r="Y205" s="18">
        <f>(V205/D$8)^E$8</f>
        <v>3.0803709406480337E-3</v>
      </c>
      <c r="Z205" s="38">
        <f>1-EXP(Y205-X205)</f>
        <v>2.8606730627511734E-2</v>
      </c>
      <c r="AA205" s="41">
        <f>K205*P205*U205*Z205</f>
        <v>3.9666176239845391E-4</v>
      </c>
      <c r="AB205" s="42">
        <f>1-AA205</f>
        <v>0.9996033382376015</v>
      </c>
      <c r="AC205" s="47">
        <f>AF205*F$7+E205+AC204</f>
        <v>115.33333333333334</v>
      </c>
      <c r="AD205" s="43">
        <v>0</v>
      </c>
      <c r="AE205" s="1">
        <v>0</v>
      </c>
      <c r="AF205" s="1">
        <v>0</v>
      </c>
      <c r="AG205" s="1">
        <v>0</v>
      </c>
      <c r="AH205" s="44">
        <v>85</v>
      </c>
    </row>
    <row r="206" spans="1:34" x14ac:dyDescent="0.25">
      <c r="A206" s="57">
        <v>1</v>
      </c>
      <c r="B206" s="58">
        <v>6</v>
      </c>
      <c r="C206" s="58">
        <v>500</v>
      </c>
      <c r="D206" s="58">
        <v>5</v>
      </c>
      <c r="E206" s="66">
        <f t="shared" si="21"/>
        <v>55</v>
      </c>
      <c r="F206" s="67">
        <v>106</v>
      </c>
      <c r="G206" s="68">
        <f>H205*(1-AD206*C$5)</f>
        <v>80.733333333333334</v>
      </c>
      <c r="H206" s="69">
        <f>G206+E206</f>
        <v>135.73333333333335</v>
      </c>
      <c r="I206" s="70">
        <f>(H206/D$5)^E$5</f>
        <v>0.36513109280337663</v>
      </c>
      <c r="J206" s="70">
        <f>(G206/D$5)^E$5</f>
        <v>0.14862868526677991</v>
      </c>
      <c r="K206" s="29">
        <f>1-EXP(J206-I206)</f>
        <v>0.19466940394254484</v>
      </c>
      <c r="L206" s="51">
        <f>M205*(1-AE206*C$6)</f>
        <v>80.733333333333334</v>
      </c>
      <c r="M206" s="52">
        <f>L206+E206</f>
        <v>135.73333333333335</v>
      </c>
      <c r="N206" s="17">
        <f>(M206/D$6)^E$6</f>
        <v>0.30786708540357188</v>
      </c>
      <c r="O206" s="17">
        <f>(L206/D$6)^E$6</f>
        <v>0.11592364675943075</v>
      </c>
      <c r="P206" s="32">
        <f>1-EXP(O206-N206)</f>
        <v>0.17464644971265575</v>
      </c>
      <c r="Q206" s="53">
        <f>R205*(1-AF206*C$7)</f>
        <v>80.733333333333334</v>
      </c>
      <c r="R206" s="54">
        <f>Q206+E206</f>
        <v>135.73333333333335</v>
      </c>
      <c r="S206" s="16">
        <f>(R206/D$7)^E$7</f>
        <v>0.88097109537085294</v>
      </c>
      <c r="T206" s="16">
        <f>(Q206/D$7)^E$7</f>
        <v>0.24927110408438607</v>
      </c>
      <c r="U206" s="35">
        <f>1-EXP(T206-S206)</f>
        <v>0.46831283126270695</v>
      </c>
      <c r="V206" s="55">
        <f>W205*(1-AG206*C$8)</f>
        <v>80.733333333333334</v>
      </c>
      <c r="W206" s="56">
        <f>V206+E206</f>
        <v>135.73333333333335</v>
      </c>
      <c r="X206" s="18">
        <f>(W206/D$8)^E$8</f>
        <v>4.8474533604058158E-2</v>
      </c>
      <c r="Y206" s="18">
        <f>(V206/D$8)^E$8</f>
        <v>1.3021486169574397E-2</v>
      </c>
      <c r="Z206" s="38">
        <f>1-EXP(Y206-X206)</f>
        <v>3.4831949717745281E-2</v>
      </c>
      <c r="AA206" s="41">
        <f>K206*P206*U206*Z206</f>
        <v>5.5458906544913556E-4</v>
      </c>
      <c r="AB206" s="42">
        <f>1-AA206</f>
        <v>0.99944541093455086</v>
      </c>
      <c r="AC206" s="47">
        <f>(AF206*F$7)+E206+AC205</f>
        <v>178.33333333333334</v>
      </c>
      <c r="AD206" s="77">
        <v>1</v>
      </c>
      <c r="AE206" s="78">
        <v>1</v>
      </c>
      <c r="AF206" s="78">
        <v>1</v>
      </c>
      <c r="AG206" s="78">
        <v>1</v>
      </c>
      <c r="AH206" s="79">
        <v>110</v>
      </c>
    </row>
    <row r="207" spans="1:34" ht="15.75" thickBot="1" x14ac:dyDescent="0.3">
      <c r="A207" s="76">
        <v>2</v>
      </c>
      <c r="B207" s="58">
        <v>9</v>
      </c>
      <c r="C207" s="58">
        <v>500</v>
      </c>
      <c r="D207" s="58">
        <v>2</v>
      </c>
      <c r="E207" s="66">
        <f t="shared" si="21"/>
        <v>77</v>
      </c>
      <c r="F207" s="67">
        <v>76</v>
      </c>
      <c r="G207" s="68">
        <f>H206*(1-AD207*C$5)</f>
        <v>95.013333333333335</v>
      </c>
      <c r="H207" s="69">
        <f>G207+E207</f>
        <v>172.01333333333332</v>
      </c>
      <c r="I207" s="70">
        <f>(H207/D$5)^E$5</f>
        <v>0.55007714400590135</v>
      </c>
      <c r="J207" s="70">
        <f>(G207/D$5)^E$5</f>
        <v>0.19700099794818257</v>
      </c>
      <c r="K207" s="29">
        <f>1-EXP(J207-I207)</f>
        <v>0.2974763030694797</v>
      </c>
      <c r="L207" s="51">
        <f>M206*(1-AE207*C$6)</f>
        <v>95.013333333333335</v>
      </c>
      <c r="M207" s="52">
        <f>L207+E207</f>
        <v>172.01333333333332</v>
      </c>
      <c r="N207" s="17">
        <f>(M207/D$6)^E$6</f>
        <v>0.4805840832144625</v>
      </c>
      <c r="O207" s="17">
        <f>(L207/D$6)^E$6</f>
        <v>0.15745178026315176</v>
      </c>
      <c r="P207" s="32">
        <f>1-EXP(O207-N207)</f>
        <v>0.27612192317372397</v>
      </c>
      <c r="Q207" s="53">
        <f>R206*(1-AF207*C$7)</f>
        <v>95.013333333333335</v>
      </c>
      <c r="R207" s="54">
        <f>Q207+E207</f>
        <v>172.01333333333332</v>
      </c>
      <c r="S207" s="16">
        <f>(R207/D$7)^E$7</f>
        <v>1.5665683956775553</v>
      </c>
      <c r="T207" s="16">
        <f>(Q207/D$7)^E$7</f>
        <v>0.37029674686236147</v>
      </c>
      <c r="U207" s="35">
        <f>1-EXP(T207-S207)</f>
        <v>0.69768073429638378</v>
      </c>
      <c r="V207" s="55">
        <f>W206*(1-AG207*C$8)</f>
        <v>95.013333333333335</v>
      </c>
      <c r="W207" s="56">
        <f>V207+E207</f>
        <v>172.01333333333332</v>
      </c>
      <c r="X207" s="18">
        <f>(W207/D$8)^E$8</f>
        <v>8.8265076148076965E-2</v>
      </c>
      <c r="Y207" s="18">
        <f>(V207/D$8)^E$8</f>
        <v>1.9661275126583947E-2</v>
      </c>
      <c r="Z207" s="38">
        <f>1-EXP(Y207-X207)</f>
        <v>6.6303463581023681E-2</v>
      </c>
      <c r="AA207" s="41">
        <f>K207*P207*U207*Z207</f>
        <v>3.7996729011853083E-3</v>
      </c>
      <c r="AB207" s="42">
        <f>1-AA207</f>
        <v>0.99620032709881468</v>
      </c>
      <c r="AC207" s="47">
        <f>(AF207*F$7)+E207+AC206</f>
        <v>263.33333333333337</v>
      </c>
      <c r="AD207" s="80">
        <v>1</v>
      </c>
      <c r="AE207" s="45">
        <v>1</v>
      </c>
      <c r="AF207" s="81">
        <v>1</v>
      </c>
      <c r="AG207" s="45">
        <v>1</v>
      </c>
      <c r="AH207" s="82">
        <v>40</v>
      </c>
    </row>
    <row r="208" spans="1:34" ht="18.75" x14ac:dyDescent="0.3">
      <c r="A208" s="132" t="s">
        <v>53</v>
      </c>
      <c r="B208" s="132"/>
      <c r="C208" s="132"/>
      <c r="D208" s="132"/>
      <c r="E208" s="132"/>
      <c r="F208" s="132"/>
      <c r="G208" s="132"/>
      <c r="H208" s="132"/>
      <c r="I208" s="132"/>
      <c r="J208" s="132"/>
      <c r="AG208" s="46"/>
    </row>
    <row r="209" spans="1:20" ht="15.75" x14ac:dyDescent="0.25">
      <c r="A209" s="19" t="s">
        <v>54</v>
      </c>
      <c r="B209" s="60" t="s">
        <v>49</v>
      </c>
      <c r="C209" s="61" t="s">
        <v>50</v>
      </c>
      <c r="D209" s="19" t="s">
        <v>82</v>
      </c>
      <c r="E209" s="60" t="s">
        <v>57</v>
      </c>
      <c r="F209" s="61" t="s">
        <v>50</v>
      </c>
      <c r="G209" s="19" t="s">
        <v>58</v>
      </c>
      <c r="H209" s="60" t="s">
        <v>61</v>
      </c>
      <c r="I209" s="61" t="s">
        <v>50</v>
      </c>
      <c r="J209" s="19" t="s">
        <v>48</v>
      </c>
      <c r="K209" s="83" t="s">
        <v>84</v>
      </c>
      <c r="L209" s="61" t="s">
        <v>50</v>
      </c>
      <c r="M209" s="61" t="s">
        <v>85</v>
      </c>
      <c r="O209" s="174" t="s">
        <v>64</v>
      </c>
      <c r="P209" s="174"/>
      <c r="Q209" s="175" t="s">
        <v>109</v>
      </c>
      <c r="R209" s="175"/>
    </row>
    <row r="210" spans="1:20" ht="24.75" x14ac:dyDescent="0.25">
      <c r="A210" s="61" t="s">
        <v>51</v>
      </c>
      <c r="B210" s="1">
        <f>AA204</f>
        <v>3.9101438569080559E-7</v>
      </c>
      <c r="C210" s="59">
        <f>MAX(AC204+1*L197-F204,0)</f>
        <v>0</v>
      </c>
      <c r="D210" s="62" t="s">
        <v>55</v>
      </c>
      <c r="E210" s="1">
        <f>AA204*AA205</f>
        <v>1.5510045535126374E-10</v>
      </c>
      <c r="F210" s="1">
        <f>MAX(AC205+2*L197-F205,0)</f>
        <v>0</v>
      </c>
      <c r="G210" s="62" t="s">
        <v>59</v>
      </c>
      <c r="H210" s="1">
        <f>AA204*AA205*AA206</f>
        <v>8.6017016583992734E-14</v>
      </c>
      <c r="I210" s="1">
        <f>AC206+3*L197-F206</f>
        <v>108.33333333333334</v>
      </c>
      <c r="J210" s="62" t="s">
        <v>83</v>
      </c>
      <c r="K210" s="1">
        <f>AA204*AA205*AA206*AA207</f>
        <v>3.2683652695500444E-16</v>
      </c>
      <c r="L210" s="1">
        <f>AC207+4*L197-F207</f>
        <v>235.33333333333337</v>
      </c>
      <c r="M210" s="1">
        <f>B210*C210*AH204+E210*F210*AH205+H210*I210*AH206+K210*L210*AH207</f>
        <v>1.0281127354663166E-9</v>
      </c>
      <c r="O210" s="1" t="s">
        <v>27</v>
      </c>
      <c r="P210" s="1">
        <f>2*H195</f>
        <v>3640</v>
      </c>
      <c r="Q210" s="1">
        <f>(K204*(1-P204)*(1-U204)*(1-Z204))+(P204*(1-K204)*(1-U204)*(1-Z204))+(U204*(1-K204)*(1-P204)*(1-Z204))+(Z204*(1-K204)*(1-P204)*(1-U204))</f>
        <v>0.1405459062810282</v>
      </c>
      <c r="R210" s="1">
        <f>Q210*(L$7*(J$5*K$5+L$5)+I$5)</f>
        <v>4953.5404668748388</v>
      </c>
    </row>
    <row r="211" spans="1:20" ht="24.75" x14ac:dyDescent="0.25">
      <c r="A211" s="62" t="s">
        <v>52</v>
      </c>
      <c r="B211" s="1">
        <f>AB204</f>
        <v>0.99999960898561435</v>
      </c>
      <c r="C211" s="59">
        <f>MAX(AC204-F204,0)</f>
        <v>0</v>
      </c>
      <c r="D211" s="62" t="s">
        <v>56</v>
      </c>
      <c r="E211" s="1">
        <f>AA204*AB205+AA205*AB204</f>
        <v>3.9705246658323402E-4</v>
      </c>
      <c r="F211" s="1">
        <f>MAX(AC205+1*L197-F205,0)</f>
        <v>0</v>
      </c>
      <c r="G211" s="62" t="s">
        <v>60</v>
      </c>
      <c r="H211" s="1">
        <f>AA204*AA205*AB206+AA205*AA206*AB204+AA204*AA206*AB205</f>
        <v>2.2035597081500456E-7</v>
      </c>
      <c r="I211" s="1">
        <f>AC206+2*L197-F206</f>
        <v>96.333333333333343</v>
      </c>
      <c r="J211" s="62" t="s">
        <v>59</v>
      </c>
      <c r="K211">
        <f>AB204*AA205*AA206*AA207+AB205*AA204*AA206*AA207*+AB206*AA204*AA205*AA207+AB207*AA204*AA205*AA206</f>
        <v>8.3595365595783425E-10</v>
      </c>
      <c r="L211" s="1">
        <f>AC207+3*L197-F207</f>
        <v>223.33333333333337</v>
      </c>
      <c r="M211" s="1">
        <f>B211*C211*AH204+E211*F211*AH205+H211*I211*AH206+K211*L211*AH207</f>
        <v>2.3425066233962216E-3</v>
      </c>
      <c r="O211" s="1" t="s">
        <v>28</v>
      </c>
      <c r="P211" s="1">
        <f>2*H196</f>
        <v>5440</v>
      </c>
      <c r="Q211" s="1">
        <f t="shared" ref="Q211:Q213" si="22">(K205*(1-P205)*(1-U205)*(1-Z205))+(P205*(1-K205)*(1-U205)*(1-Z205))+(U205*(1-K205)*(1-P205)*(1-Z205))+(Z205*(1-K205)*(1-P205)*(1-U205))</f>
        <v>0.44925379312516944</v>
      </c>
      <c r="R211" s="1">
        <f t="shared" ref="R211:R213" si="23">Q211*(L$7*(J$5*K$5+L$5)+I$5)</f>
        <v>15833.949938696596</v>
      </c>
    </row>
    <row r="212" spans="1:20" ht="24.75" x14ac:dyDescent="0.25">
      <c r="A212" s="1"/>
      <c r="B212" s="1"/>
      <c r="C212" s="1"/>
      <c r="D212" s="62" t="s">
        <v>52</v>
      </c>
      <c r="E212" s="1">
        <f>AB204*AB205</f>
        <v>0.99960294737831634</v>
      </c>
      <c r="F212" s="59">
        <f>MAX(AC205-F205,0)</f>
        <v>0</v>
      </c>
      <c r="G212" s="62" t="s">
        <v>56</v>
      </c>
      <c r="H212" s="1">
        <f>AA204*AB205*AB206+AA205*AB204*AB206*+AA206*AB204*AB205</f>
        <v>6.1041741135562981E-7</v>
      </c>
      <c r="I212" s="1">
        <f>AC206+1*L197-F206</f>
        <v>84.333333333333343</v>
      </c>
      <c r="J212" s="62" t="s">
        <v>60</v>
      </c>
      <c r="K212" s="1">
        <f>AA204*AA205*AB206*AB207 + AA204*AA206*AB205*AB207 + AA204*AA207*AB205*AB206 + AA205*AA206*AB204*AB207 + AA205*AA207*AB204*AB206 + AA206*AA207*AB204*AB205</f>
        <v>3.8337718475695946E-6</v>
      </c>
      <c r="L212" s="1">
        <f>AC207+2*L197-F207</f>
        <v>211.33333333333337</v>
      </c>
      <c r="M212" s="1">
        <f>B212*C212*AH204+E212*F212*AH205+H212*I212*AH206+K212*L212*AH207</f>
        <v>3.8070790204130706E-2</v>
      </c>
      <c r="O212" s="1" t="s">
        <v>29</v>
      </c>
      <c r="P212" s="1">
        <f>2*(F197*(J195*K195+L195)+H197)</f>
        <v>28200</v>
      </c>
      <c r="Q212" s="1">
        <f t="shared" si="22"/>
        <v>0.46737379995534067</v>
      </c>
      <c r="R212" s="1">
        <f t="shared" si="23"/>
        <v>16472.589579425981</v>
      </c>
    </row>
    <row r="213" spans="1:20" ht="24.75" x14ac:dyDescent="0.25">
      <c r="A213" s="1"/>
      <c r="B213" s="1"/>
      <c r="C213" s="1"/>
      <c r="D213" s="1"/>
      <c r="E213" s="1"/>
      <c r="F213" s="1"/>
      <c r="G213" s="62" t="s">
        <v>52</v>
      </c>
      <c r="H213" s="1">
        <f>AB204*AB205*AB206</f>
        <v>0.9990485785139096</v>
      </c>
      <c r="I213" s="63">
        <f>AC206-F206</f>
        <v>72.333333333333343</v>
      </c>
      <c r="J213" s="62" t="s">
        <v>56</v>
      </c>
      <c r="K213" s="1">
        <f>AA204*AB205*AB206*AB207+AA205*AB204*AB206*AB207+AA206*AB204*AB205*AB207+AA207*AB204*AB205*AB206</f>
        <v>4.7436446876232387E-3</v>
      </c>
      <c r="L213" s="1">
        <f>AC207+1*L197-F207</f>
        <v>199.33333333333337</v>
      </c>
      <c r="M213" s="1">
        <f>B213*C213*AH204+E213*F213*AH205+H213*I213*AH206+K213*L213*AH207</f>
        <v>7986.9191833516588</v>
      </c>
      <c r="O213" s="1" t="s">
        <v>30</v>
      </c>
      <c r="P213" s="1">
        <f>2*H198</f>
        <v>8640</v>
      </c>
      <c r="Q213" s="1">
        <f t="shared" si="22"/>
        <v>0.45700901684888368</v>
      </c>
      <c r="R213" s="1">
        <f t="shared" si="23"/>
        <v>16107.282798838905</v>
      </c>
    </row>
    <row r="214" spans="1:20" ht="30" x14ac:dyDescent="0.25">
      <c r="I214" s="84"/>
      <c r="J214" s="62" t="s">
        <v>52</v>
      </c>
      <c r="K214" s="85">
        <f>AB204*AB205*AB206*AB207</f>
        <v>0.99525252070316261</v>
      </c>
      <c r="L214" s="1">
        <f>AC207+0*L197-F207</f>
        <v>187.33333333333337</v>
      </c>
      <c r="M214" s="1">
        <f>B214*C214*AH204+E214*F214*AH205+H214*I214*AH206+K214*L214*AH207</f>
        <v>7457.7588884690331</v>
      </c>
      <c r="O214" s="64" t="s">
        <v>65</v>
      </c>
      <c r="P214" s="65">
        <f>SUM(P210:P213)</f>
        <v>45920</v>
      </c>
      <c r="Q214" s="96" t="s">
        <v>108</v>
      </c>
      <c r="R214" s="97">
        <f>SUM(R210:R213)</f>
        <v>53367.362783836317</v>
      </c>
    </row>
    <row r="215" spans="1:20" x14ac:dyDescent="0.25">
      <c r="L215" s="176" t="s">
        <v>63</v>
      </c>
      <c r="M215" s="177">
        <f>SUM(M210:M214)</f>
        <v>15444.718485118548</v>
      </c>
    </row>
    <row r="216" spans="1:20" x14ac:dyDescent="0.25">
      <c r="L216" s="176"/>
      <c r="M216" s="177"/>
    </row>
    <row r="217" spans="1:20" x14ac:dyDescent="0.25">
      <c r="A217" s="178" t="s">
        <v>90</v>
      </c>
      <c r="B217" s="178"/>
      <c r="C217" s="178"/>
      <c r="D217" s="178"/>
      <c r="E217" s="178"/>
      <c r="F217" s="178"/>
      <c r="G217" s="178"/>
      <c r="H217" s="178"/>
      <c r="I217" s="178"/>
      <c r="J217" s="178"/>
      <c r="K217" s="178"/>
      <c r="L217" s="178"/>
      <c r="M217" s="178"/>
      <c r="N217" s="178"/>
    </row>
    <row r="218" spans="1:20" ht="15.75" x14ac:dyDescent="0.25">
      <c r="A218" s="87" t="s">
        <v>76</v>
      </c>
      <c r="B218" s="62" t="s">
        <v>49</v>
      </c>
      <c r="C218" s="90" t="s">
        <v>102</v>
      </c>
      <c r="D218" s="62" t="s">
        <v>88</v>
      </c>
      <c r="E218" s="87" t="s">
        <v>86</v>
      </c>
      <c r="F218" s="62" t="s">
        <v>57</v>
      </c>
      <c r="G218" s="90" t="s">
        <v>103</v>
      </c>
      <c r="H218" s="62" t="s">
        <v>88</v>
      </c>
      <c r="I218" s="87" t="s">
        <v>77</v>
      </c>
      <c r="J218" s="62" t="s">
        <v>61</v>
      </c>
      <c r="K218" s="90" t="s">
        <v>78</v>
      </c>
      <c r="L218" s="62" t="s">
        <v>88</v>
      </c>
      <c r="M218" s="87" t="s">
        <v>75</v>
      </c>
      <c r="N218" s="62" t="s">
        <v>84</v>
      </c>
      <c r="O218" s="90" t="s">
        <v>87</v>
      </c>
      <c r="P218" s="62" t="s">
        <v>88</v>
      </c>
    </row>
    <row r="219" spans="1:20" ht="24.75" x14ac:dyDescent="0.25">
      <c r="A219" s="62" t="s">
        <v>51</v>
      </c>
      <c r="B219" s="86">
        <v>3.9101438569080559E-7</v>
      </c>
      <c r="C219" s="86">
        <f>AC204+1*L197</f>
        <v>57.666666666666664</v>
      </c>
      <c r="D219" s="86">
        <f>MAX(B219*1.5*((C219-F204)*500/2),0)</f>
        <v>0</v>
      </c>
      <c r="E219" s="62" t="s">
        <v>55</v>
      </c>
      <c r="F219" s="86">
        <v>1.5510045535126374E-10</v>
      </c>
      <c r="G219" s="86">
        <f>AC205+2*L197</f>
        <v>139.33333333333334</v>
      </c>
      <c r="H219" s="86">
        <f>F219*1.5*((G219-F205)*500/2+(G219-F206)*500 + (G219-F207)*500)</f>
        <v>1.1206007899128807E-5</v>
      </c>
      <c r="I219" s="62" t="s">
        <v>59</v>
      </c>
      <c r="J219" s="86">
        <v>8.6017016583992734E-14</v>
      </c>
      <c r="K219" s="86">
        <f>AC206+3*L197</f>
        <v>214.33333333333334</v>
      </c>
      <c r="L219" s="86">
        <f>J219*1.5*((K219-G219)*500/2+(K219-G219)*500)</f>
        <v>7.2576857742743863E-9</v>
      </c>
      <c r="M219" s="62" t="s">
        <v>83</v>
      </c>
      <c r="N219" s="86">
        <v>3.2683652695500444E-16</v>
      </c>
      <c r="O219" s="86">
        <f>AC207+4*L197</f>
        <v>311.33333333333337</v>
      </c>
      <c r="P219" s="86">
        <f>N219*1.5*((O219-K219)*500/2)</f>
        <v>1.188867866798829E-11</v>
      </c>
    </row>
    <row r="220" spans="1:20" ht="24.75" x14ac:dyDescent="0.25">
      <c r="A220" s="62" t="s">
        <v>52</v>
      </c>
      <c r="B220" s="86">
        <v>0.99999960898561435</v>
      </c>
      <c r="C220" s="88">
        <f>AC204</f>
        <v>45.666666666666664</v>
      </c>
      <c r="D220" s="86">
        <f>MAX(B220*1.5*((C220-F204)*500/2),0)</f>
        <v>0</v>
      </c>
      <c r="E220" s="62" t="s">
        <v>56</v>
      </c>
      <c r="F220" s="86">
        <v>3.9705246658323402E-4</v>
      </c>
      <c r="G220" s="86">
        <f>AC205+1*L197</f>
        <v>127.33333333333334</v>
      </c>
      <c r="H220" s="86">
        <f>F220*1.5*((G220-F206)*500+(G220-F207)*500)</f>
        <v>21.639359428786261</v>
      </c>
      <c r="I220" s="62" t="s">
        <v>60</v>
      </c>
      <c r="J220" s="86">
        <v>2.2035597081500456E-7</v>
      </c>
      <c r="K220" s="86">
        <f>AC206+2*L197</f>
        <v>202.33333333333334</v>
      </c>
      <c r="L220" s="86">
        <f>J220*1.5*((K220-G220)*500/2+(K220-G220)*500)</f>
        <v>1.8592535037516011E-2</v>
      </c>
      <c r="M220" s="62" t="s">
        <v>59</v>
      </c>
      <c r="N220" s="86">
        <v>8.3595365595783425E-10</v>
      </c>
      <c r="O220" s="86">
        <f>AC207+3*L197</f>
        <v>299.33333333333337</v>
      </c>
      <c r="P220" s="86">
        <f>N220*1.5*((O220-K220)*500/2)</f>
        <v>3.040781423546623E-5</v>
      </c>
    </row>
    <row r="221" spans="1:20" x14ac:dyDescent="0.25">
      <c r="A221" s="86"/>
      <c r="B221" s="86"/>
      <c r="C221" s="89" t="s">
        <v>89</v>
      </c>
      <c r="D221" s="89">
        <f>SUM(D219:D220)</f>
        <v>0</v>
      </c>
      <c r="E221" s="62" t="s">
        <v>52</v>
      </c>
      <c r="F221" s="86">
        <v>0.99960294737831634</v>
      </c>
      <c r="G221" s="86">
        <f>AC205+0*L197</f>
        <v>115.33333333333334</v>
      </c>
      <c r="H221" s="86">
        <f>F221*1.5*((G221-F206)*500+(G221-F207)*500)</f>
        <v>36485.507579308556</v>
      </c>
      <c r="I221" s="62" t="s">
        <v>56</v>
      </c>
      <c r="J221" s="86">
        <v>6.1041741135562981E-7</v>
      </c>
      <c r="K221" s="86">
        <f>AC206+1*L197</f>
        <v>190.33333333333334</v>
      </c>
      <c r="L221" s="86">
        <f>J221*1.5*((K221-G221)*500/2+(K221-G221)*500)</f>
        <v>5.1503969083131262E-2</v>
      </c>
      <c r="M221" s="62" t="s">
        <v>60</v>
      </c>
      <c r="N221" s="86">
        <v>3.8337718475695946E-6</v>
      </c>
      <c r="O221" s="86">
        <f>AC207+2*L197</f>
        <v>287.33333333333337</v>
      </c>
      <c r="P221" s="86">
        <f>N221*1.5*((O221-K221)*500/2)</f>
        <v>0.13945345095534403</v>
      </c>
    </row>
    <row r="222" spans="1:20" x14ac:dyDescent="0.25">
      <c r="A222" s="86"/>
      <c r="B222" s="86"/>
      <c r="C222" s="86"/>
      <c r="D222" s="86"/>
      <c r="E222" s="86"/>
      <c r="F222" s="86"/>
      <c r="G222" s="89" t="s">
        <v>79</v>
      </c>
      <c r="H222" s="89">
        <f>SUM(H219:H221)</f>
        <v>36507.146949943352</v>
      </c>
      <c r="I222" s="62" t="s">
        <v>52</v>
      </c>
      <c r="J222" s="86">
        <v>0.9990485785139096</v>
      </c>
      <c r="K222" s="86">
        <f>AC206+0*L197</f>
        <v>178.33333333333334</v>
      </c>
      <c r="L222" s="86">
        <f>J222*1.5*((K222-G221)*500/2+(K222-G221)*500)</f>
        <v>70807.568002173342</v>
      </c>
      <c r="M222" s="62" t="s">
        <v>56</v>
      </c>
      <c r="N222" s="86">
        <v>4.7436446876232387E-3</v>
      </c>
      <c r="O222" s="86">
        <f>AC207+1*L197</f>
        <v>275.33333333333337</v>
      </c>
      <c r="P222" s="86">
        <f>N222*1.5*((O222-K222)*500/2)</f>
        <v>172.55007551229536</v>
      </c>
    </row>
    <row r="223" spans="1:20" x14ac:dyDescent="0.25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9" t="s">
        <v>79</v>
      </c>
      <c r="L223" s="89">
        <f>SUM(L219:L222)</f>
        <v>70807.638098684722</v>
      </c>
      <c r="M223" s="62" t="s">
        <v>52</v>
      </c>
      <c r="N223" s="86">
        <v>0.99525252070316261</v>
      </c>
      <c r="O223" s="86">
        <f>AC207+0*L197</f>
        <v>263.33333333333337</v>
      </c>
      <c r="P223" s="86">
        <f>N223*1.5*((O223-K222)*500/2)</f>
        <v>31723.674097413321</v>
      </c>
      <c r="Q223" s="179" t="s">
        <v>80</v>
      </c>
      <c r="R223" s="179"/>
      <c r="S223" s="180">
        <f>D221+H222+L223+P224</f>
        <v>139211.14870541249</v>
      </c>
      <c r="T223" s="180"/>
    </row>
    <row r="224" spans="1:20" x14ac:dyDescent="0.25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9" t="s">
        <v>79</v>
      </c>
      <c r="P224" s="89">
        <f>SUM(P219:P223)</f>
        <v>31896.363656784397</v>
      </c>
      <c r="Q224" s="179"/>
      <c r="R224" s="179"/>
      <c r="S224" s="180"/>
      <c r="T224" s="180"/>
    </row>
    <row r="225" spans="1:34" x14ac:dyDescent="0.25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</row>
    <row r="226" spans="1:34" x14ac:dyDescent="0.25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</row>
    <row r="227" spans="1:34" x14ac:dyDescent="0.25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</row>
    <row r="228" spans="1:34" ht="24.75" thickBot="1" x14ac:dyDescent="0.3">
      <c r="O228" s="131" t="s">
        <v>81</v>
      </c>
      <c r="P228" s="131"/>
      <c r="Q228" s="131">
        <f>(R214+P214+M215+S223)/AC207</f>
        <v>964.34137964949616</v>
      </c>
      <c r="R228" s="131"/>
    </row>
    <row r="229" spans="1:34" x14ac:dyDescent="0.25">
      <c r="A229" s="181" t="s">
        <v>110</v>
      </c>
      <c r="B229" s="182"/>
    </row>
    <row r="230" spans="1:34" ht="15.75" thickBot="1" x14ac:dyDescent="0.3">
      <c r="A230" s="183"/>
      <c r="B230" s="184"/>
    </row>
    <row r="231" spans="1:34" ht="21" x14ac:dyDescent="0.35">
      <c r="A231" s="185" t="s">
        <v>14</v>
      </c>
      <c r="B231" s="185"/>
      <c r="C231" s="165"/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O231" s="166" t="s">
        <v>72</v>
      </c>
      <c r="P231" s="166"/>
      <c r="Q231" s="166"/>
      <c r="R231" s="166"/>
      <c r="S231" s="166"/>
      <c r="T231" s="166"/>
      <c r="U231" s="166"/>
      <c r="V231" s="166"/>
    </row>
    <row r="232" spans="1:34" ht="36" x14ac:dyDescent="0.25">
      <c r="A232" s="4" t="s">
        <v>15</v>
      </c>
      <c r="B232" s="4" t="s">
        <v>16</v>
      </c>
      <c r="C232" s="4" t="s">
        <v>31</v>
      </c>
      <c r="D232" s="6" t="s">
        <v>17</v>
      </c>
      <c r="E232" s="6" t="s">
        <v>18</v>
      </c>
      <c r="F232" s="6" t="s">
        <v>19</v>
      </c>
      <c r="G232" s="6" t="s">
        <v>20</v>
      </c>
      <c r="H232" s="6" t="s">
        <v>21</v>
      </c>
      <c r="I232" s="6" t="s">
        <v>22</v>
      </c>
      <c r="J232" s="6" t="s">
        <v>23</v>
      </c>
      <c r="K232" s="6" t="s">
        <v>24</v>
      </c>
      <c r="L232" s="6" t="s">
        <v>25</v>
      </c>
      <c r="M232" s="6" t="s">
        <v>26</v>
      </c>
      <c r="N232" s="8"/>
      <c r="O232" s="167" t="s">
        <v>32</v>
      </c>
      <c r="P232" s="167" t="s">
        <v>35</v>
      </c>
      <c r="Q232" s="167" t="s">
        <v>66</v>
      </c>
      <c r="R232" s="99" t="s">
        <v>67</v>
      </c>
      <c r="S232" s="99" t="s">
        <v>68</v>
      </c>
      <c r="T232" s="167" t="s">
        <v>69</v>
      </c>
      <c r="U232" s="71" t="s">
        <v>33</v>
      </c>
      <c r="V232" s="99" t="s">
        <v>70</v>
      </c>
    </row>
    <row r="233" spans="1:34" x14ac:dyDescent="0.25">
      <c r="A233" s="3" t="s">
        <v>27</v>
      </c>
      <c r="B233" s="3">
        <v>0</v>
      </c>
      <c r="C233" s="3">
        <v>0.3</v>
      </c>
      <c r="D233" s="3">
        <v>243</v>
      </c>
      <c r="E233" s="3">
        <v>1.73</v>
      </c>
      <c r="F233" s="3">
        <v>5</v>
      </c>
      <c r="G233" s="169">
        <v>12</v>
      </c>
      <c r="H233" s="3">
        <v>1820</v>
      </c>
      <c r="I233" s="169">
        <v>19645</v>
      </c>
      <c r="J233" s="3">
        <v>20</v>
      </c>
      <c r="K233" s="3">
        <v>40</v>
      </c>
      <c r="L233" s="3">
        <v>500</v>
      </c>
      <c r="M233" s="3">
        <v>1000</v>
      </c>
      <c r="O233" s="168"/>
      <c r="P233" s="168"/>
      <c r="Q233" s="168"/>
      <c r="R233" s="72" t="s">
        <v>71</v>
      </c>
      <c r="S233" s="72" t="s">
        <v>71</v>
      </c>
      <c r="T233" s="168"/>
      <c r="U233" s="73">
        <v>500</v>
      </c>
      <c r="V233" s="3">
        <v>1.5</v>
      </c>
    </row>
    <row r="234" spans="1:34" x14ac:dyDescent="0.25">
      <c r="A234" s="3" t="s">
        <v>28</v>
      </c>
      <c r="B234" s="3">
        <v>0</v>
      </c>
      <c r="C234" s="3">
        <v>0.3</v>
      </c>
      <c r="D234" s="3">
        <v>254</v>
      </c>
      <c r="E234" s="3">
        <v>1.88</v>
      </c>
      <c r="F234" s="3">
        <v>3</v>
      </c>
      <c r="G234" s="170"/>
      <c r="H234" s="3">
        <v>2720</v>
      </c>
      <c r="I234" s="170"/>
      <c r="J234" s="5"/>
      <c r="K234" s="5"/>
      <c r="L234" s="5"/>
      <c r="M234" s="5"/>
      <c r="O234" s="74">
        <v>1</v>
      </c>
      <c r="P234" s="74">
        <v>106</v>
      </c>
      <c r="Q234" s="74">
        <v>110</v>
      </c>
      <c r="R234" s="74">
        <v>6</v>
      </c>
      <c r="S234" s="74">
        <v>5</v>
      </c>
      <c r="T234" s="74">
        <f>R234*$U$5/60+S234</f>
        <v>55</v>
      </c>
      <c r="U234" s="75"/>
    </row>
    <row r="235" spans="1:34" x14ac:dyDescent="0.25">
      <c r="A235" s="3" t="s">
        <v>29</v>
      </c>
      <c r="B235" s="3">
        <v>0</v>
      </c>
      <c r="C235" s="3">
        <v>0.3</v>
      </c>
      <c r="D235" s="3">
        <v>143</v>
      </c>
      <c r="E235" s="3">
        <v>2.4300000000000002</v>
      </c>
      <c r="F235" s="3">
        <v>8</v>
      </c>
      <c r="G235" s="170"/>
      <c r="H235" s="3">
        <v>3700</v>
      </c>
      <c r="I235" s="170"/>
      <c r="J235" s="5"/>
      <c r="K235" s="140" t="s">
        <v>73</v>
      </c>
      <c r="L235" s="141">
        <v>12</v>
      </c>
      <c r="M235" s="140" t="s">
        <v>74</v>
      </c>
      <c r="N235" s="141">
        <v>19645</v>
      </c>
      <c r="O235" s="74">
        <v>2</v>
      </c>
      <c r="P235" s="74">
        <v>76</v>
      </c>
      <c r="Q235" s="74">
        <v>40</v>
      </c>
      <c r="R235" s="74">
        <v>9</v>
      </c>
      <c r="S235" s="74">
        <v>2</v>
      </c>
      <c r="T235" s="74">
        <f t="shared" ref="T235:T237" si="24">R235*$U$5/60+S235</f>
        <v>77</v>
      </c>
      <c r="U235" s="75"/>
    </row>
    <row r="236" spans="1:34" x14ac:dyDescent="0.25">
      <c r="A236" s="3" t="s">
        <v>30</v>
      </c>
      <c r="B236" s="3">
        <v>0</v>
      </c>
      <c r="C236" s="3">
        <v>0.3</v>
      </c>
      <c r="D236" s="3">
        <v>449</v>
      </c>
      <c r="E236" s="3">
        <v>2.5299999999999998</v>
      </c>
      <c r="F236" s="3">
        <v>4</v>
      </c>
      <c r="G236" s="171"/>
      <c r="H236" s="3">
        <v>4320</v>
      </c>
      <c r="I236" s="171"/>
      <c r="J236" s="5"/>
      <c r="K236" s="140"/>
      <c r="L236" s="141"/>
      <c r="M236" s="140"/>
      <c r="N236" s="141"/>
      <c r="O236" s="74">
        <v>3</v>
      </c>
      <c r="P236" s="74">
        <v>95</v>
      </c>
      <c r="Q236" s="74">
        <v>67</v>
      </c>
      <c r="R236" s="74">
        <v>5</v>
      </c>
      <c r="S236" s="74">
        <v>4</v>
      </c>
      <c r="T236" s="74">
        <f t="shared" si="24"/>
        <v>45.666666666666664</v>
      </c>
      <c r="U236" s="75"/>
    </row>
    <row r="237" spans="1:34" ht="15.75" thickBo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O237" s="74">
        <v>4</v>
      </c>
      <c r="P237" s="74">
        <v>140</v>
      </c>
      <c r="Q237" s="94">
        <v>85</v>
      </c>
      <c r="R237" s="94">
        <v>8</v>
      </c>
      <c r="S237" s="94">
        <v>3</v>
      </c>
      <c r="T237" s="74">
        <f t="shared" si="24"/>
        <v>69.666666666666671</v>
      </c>
    </row>
    <row r="238" spans="1:34" ht="15" customHeight="1" x14ac:dyDescent="0.25">
      <c r="A238" s="142" t="s">
        <v>100</v>
      </c>
      <c r="B238" s="144" t="s">
        <v>129</v>
      </c>
      <c r="C238" s="144"/>
      <c r="D238" s="144"/>
      <c r="E238" s="144"/>
      <c r="F238" s="20" t="s">
        <v>27</v>
      </c>
      <c r="G238" s="20" t="s">
        <v>28</v>
      </c>
      <c r="H238" s="20" t="s">
        <v>29</v>
      </c>
      <c r="I238" s="20" t="s">
        <v>30</v>
      </c>
    </row>
    <row r="239" spans="1:34" ht="15.75" customHeight="1" thickBot="1" x14ac:dyDescent="0.3">
      <c r="A239" s="143"/>
      <c r="B239" s="145"/>
      <c r="C239" s="145"/>
      <c r="D239" s="145"/>
      <c r="E239" s="145"/>
      <c r="F239" s="20">
        <v>91</v>
      </c>
      <c r="G239" s="26">
        <v>91</v>
      </c>
      <c r="H239" s="26">
        <v>91</v>
      </c>
      <c r="I239" s="26">
        <v>91</v>
      </c>
    </row>
    <row r="240" spans="1:34" ht="15.75" customHeight="1" thickBot="1" x14ac:dyDescent="0.3">
      <c r="A240" s="143"/>
      <c r="B240" s="145"/>
      <c r="C240" s="145"/>
      <c r="D240" s="145"/>
      <c r="E240" s="145"/>
      <c r="F240" s="7"/>
      <c r="G240" s="146" t="s">
        <v>27</v>
      </c>
      <c r="H240" s="147"/>
      <c r="I240" s="147"/>
      <c r="J240" s="147"/>
      <c r="K240" s="148"/>
      <c r="L240" s="149" t="s">
        <v>28</v>
      </c>
      <c r="M240" s="150"/>
      <c r="N240" s="150"/>
      <c r="O240" s="150"/>
      <c r="P240" s="151"/>
      <c r="Q240" s="152" t="s">
        <v>29</v>
      </c>
      <c r="R240" s="153"/>
      <c r="S240" s="153"/>
      <c r="T240" s="153"/>
      <c r="U240" s="154"/>
      <c r="V240" s="155" t="s">
        <v>30</v>
      </c>
      <c r="W240" s="156"/>
      <c r="X240" s="156"/>
      <c r="Y240" s="156"/>
      <c r="Z240" s="157"/>
      <c r="AA240" s="158" t="s">
        <v>42</v>
      </c>
      <c r="AB240" s="159"/>
      <c r="AC240" s="160" t="s">
        <v>44</v>
      </c>
      <c r="AD240" s="162" t="s">
        <v>47</v>
      </c>
      <c r="AE240" s="163"/>
      <c r="AF240" s="163"/>
      <c r="AG240" s="164"/>
      <c r="AH240" s="138" t="s">
        <v>62</v>
      </c>
    </row>
    <row r="241" spans="1:34" ht="36.75" x14ac:dyDescent="0.25">
      <c r="A241" s="21" t="s">
        <v>32</v>
      </c>
      <c r="B241" s="22" t="s">
        <v>37</v>
      </c>
      <c r="C241" s="23" t="s">
        <v>33</v>
      </c>
      <c r="D241" s="22" t="s">
        <v>38</v>
      </c>
      <c r="E241" s="22" t="s">
        <v>34</v>
      </c>
      <c r="F241" s="25" t="s">
        <v>35</v>
      </c>
      <c r="G241" s="27" t="s">
        <v>39</v>
      </c>
      <c r="H241" s="10" t="s">
        <v>40</v>
      </c>
      <c r="I241" s="10" t="s">
        <v>45</v>
      </c>
      <c r="J241" s="10" t="s">
        <v>46</v>
      </c>
      <c r="K241" s="28" t="s">
        <v>41</v>
      </c>
      <c r="L241" s="30" t="s">
        <v>39</v>
      </c>
      <c r="M241" s="13" t="s">
        <v>40</v>
      </c>
      <c r="N241" s="13" t="s">
        <v>45</v>
      </c>
      <c r="O241" s="13" t="s">
        <v>46</v>
      </c>
      <c r="P241" s="31" t="s">
        <v>41</v>
      </c>
      <c r="Q241" s="33" t="s">
        <v>39</v>
      </c>
      <c r="R241" s="12" t="s">
        <v>40</v>
      </c>
      <c r="S241" s="12" t="s">
        <v>45</v>
      </c>
      <c r="T241" s="12" t="s">
        <v>46</v>
      </c>
      <c r="U241" s="34" t="s">
        <v>41</v>
      </c>
      <c r="V241" s="36" t="s">
        <v>39</v>
      </c>
      <c r="W241" s="11" t="s">
        <v>40</v>
      </c>
      <c r="X241" s="11" t="s">
        <v>45</v>
      </c>
      <c r="Y241" s="11" t="s">
        <v>46</v>
      </c>
      <c r="Z241" s="37" t="s">
        <v>41</v>
      </c>
      <c r="AA241" s="39" t="s">
        <v>41</v>
      </c>
      <c r="AB241" s="40" t="s">
        <v>43</v>
      </c>
      <c r="AC241" s="161"/>
      <c r="AD241" s="43" t="s">
        <v>27</v>
      </c>
      <c r="AE241" s="1" t="s">
        <v>28</v>
      </c>
      <c r="AF241" s="1" t="s">
        <v>29</v>
      </c>
      <c r="AG241" s="1" t="s">
        <v>30</v>
      </c>
      <c r="AH241" s="139"/>
    </row>
    <row r="242" spans="1:34" x14ac:dyDescent="0.25">
      <c r="A242" s="24">
        <v>1</v>
      </c>
      <c r="B242" s="9">
        <v>6</v>
      </c>
      <c r="C242" s="9">
        <v>500</v>
      </c>
      <c r="D242" s="9">
        <v>5</v>
      </c>
      <c r="E242" s="48">
        <f>B242*C242/60+D242</f>
        <v>55</v>
      </c>
      <c r="F242" s="14">
        <v>106</v>
      </c>
      <c r="G242" s="49">
        <f>B$5*(1-AD242*C$5)</f>
        <v>0</v>
      </c>
      <c r="H242" s="50">
        <f>G242+E242</f>
        <v>55</v>
      </c>
      <c r="I242" s="15">
        <f>(H242/D$5)^E$5</f>
        <v>7.6511831764011648E-2</v>
      </c>
      <c r="J242" s="15">
        <f>(G242/D$5)^E$5</f>
        <v>0</v>
      </c>
      <c r="K242" s="29">
        <f>1-EXP(J242-I242)</f>
        <v>7.3658046035411151E-2</v>
      </c>
      <c r="L242" s="51">
        <f>B$6*(1-AE242*C$6)</f>
        <v>0</v>
      </c>
      <c r="M242" s="52">
        <f>L242+E242</f>
        <v>55</v>
      </c>
      <c r="N242" s="17">
        <f>(M242/D$6)^E$6</f>
        <v>5.633709759436846E-2</v>
      </c>
      <c r="O242" s="17">
        <f>(L242/D$6)^E$6</f>
        <v>0</v>
      </c>
      <c r="P242" s="32">
        <f>1-EXP(O242-N242)</f>
        <v>5.4779549360660096E-2</v>
      </c>
      <c r="Q242" s="53">
        <f>B$7*(1-AF242*C$7)</f>
        <v>0</v>
      </c>
      <c r="R242" s="54">
        <f>Q242+E242</f>
        <v>55</v>
      </c>
      <c r="S242" s="16">
        <f>(R242/D$7)^E$7</f>
        <v>9.8087748172662498E-2</v>
      </c>
      <c r="T242" s="16">
        <f>(Q242/D$7)^E$7</f>
        <v>0</v>
      </c>
      <c r="U242" s="35">
        <f>1-EXP(T242-S242)</f>
        <v>9.3430649540250821E-2</v>
      </c>
      <c r="V242" s="55">
        <f>B$8*(1-AG242*C$8)</f>
        <v>0</v>
      </c>
      <c r="W242" s="56">
        <f>V242+E242</f>
        <v>55</v>
      </c>
      <c r="X242" s="18">
        <f>(W242/D$8)^E$8</f>
        <v>4.9309927237744132E-3</v>
      </c>
      <c r="Y242" s="18">
        <f>(V242/D$8)^E$8</f>
        <v>0</v>
      </c>
      <c r="Z242" s="38">
        <f>1-EXP(Y242-X242)</f>
        <v>4.9188553371368737E-3</v>
      </c>
      <c r="AA242" s="41">
        <f>K242*P242*U242*Z242</f>
        <v>1.8543515323034395E-6</v>
      </c>
      <c r="AB242" s="42">
        <f>1-AA242</f>
        <v>0.99999814564846767</v>
      </c>
      <c r="AC242" s="47">
        <f>(AD242*F$5+AE242*F$6+AF242*F$7+AG242*F$8)+E242</f>
        <v>55</v>
      </c>
      <c r="AD242" s="43">
        <v>0</v>
      </c>
      <c r="AE242" s="1">
        <v>0</v>
      </c>
      <c r="AF242" s="1">
        <v>0</v>
      </c>
      <c r="AG242" s="1">
        <v>0</v>
      </c>
      <c r="AH242" s="44">
        <v>110</v>
      </c>
    </row>
    <row r="243" spans="1:34" x14ac:dyDescent="0.25">
      <c r="A243" s="24">
        <v>3</v>
      </c>
      <c r="B243" s="9">
        <v>5</v>
      </c>
      <c r="C243" s="9">
        <v>500</v>
      </c>
      <c r="D243" s="9">
        <v>4</v>
      </c>
      <c r="E243" s="9">
        <f t="shared" ref="E243:E245" si="25">B243*C243/60+D243</f>
        <v>45.666666666666664</v>
      </c>
      <c r="F243" s="14">
        <v>95</v>
      </c>
      <c r="G243" s="49">
        <f>H242*(1-AD243*C$5)</f>
        <v>55</v>
      </c>
      <c r="H243" s="50">
        <f>G243+E243</f>
        <v>100.66666666666666</v>
      </c>
      <c r="I243" s="15">
        <f>(H243/D$5)^E$5</f>
        <v>0.21771752434165836</v>
      </c>
      <c r="J243" s="15">
        <f>(G243/D$5)^E$5</f>
        <v>7.6511831764011648E-2</v>
      </c>
      <c r="K243" s="29">
        <f>1-EXP(J243-I243)</f>
        <v>0.13168931173612675</v>
      </c>
      <c r="L243" s="51">
        <f>M242*(1-AE243*C$6)</f>
        <v>55</v>
      </c>
      <c r="M243" s="52">
        <f>L243+E243</f>
        <v>100.66666666666666</v>
      </c>
      <c r="N243" s="17">
        <f>(M243/D$6)^E$6</f>
        <v>0.17552448466860393</v>
      </c>
      <c r="O243" s="17">
        <f>(L243/D$6)^E$6</f>
        <v>5.633709759436846E-2</v>
      </c>
      <c r="P243" s="32">
        <f>1-EXP(O243-N243)</f>
        <v>0.11235854735808759</v>
      </c>
      <c r="Q243" s="53">
        <f>R242*(1-AF243*C$7)</f>
        <v>55</v>
      </c>
      <c r="R243" s="54">
        <f>Q243+E243</f>
        <v>100.66666666666666</v>
      </c>
      <c r="S243" s="16">
        <f>(R243/D$7)^E$7</f>
        <v>0.42613347475170693</v>
      </c>
      <c r="T243" s="16">
        <f>(Q243/D$7)^E$7</f>
        <v>9.8087748172662498E-2</v>
      </c>
      <c r="U243" s="35">
        <f>1-EXP(T243-S243)</f>
        <v>0.27966991927816065</v>
      </c>
      <c r="V243" s="55">
        <f>W242*(1-AG243*C$8)</f>
        <v>55</v>
      </c>
      <c r="W243" s="56">
        <f>V243+E243</f>
        <v>100.66666666666666</v>
      </c>
      <c r="X243" s="18">
        <f>(W243/D$8)^E$8</f>
        <v>2.275713304339216E-2</v>
      </c>
      <c r="Y243" s="18">
        <f>(V243/D$8)^E$8</f>
        <v>4.9309927237744132E-3</v>
      </c>
      <c r="Z243" s="38">
        <f>1-EXP(Y243-X243)</f>
        <v>1.766819459368596E-2</v>
      </c>
      <c r="AA243" s="41">
        <f>K243*P243*U243*Z243</f>
        <v>7.3112994965834617E-5</v>
      </c>
      <c r="AB243" s="42">
        <f>1-AA243</f>
        <v>0.99992688700503418</v>
      </c>
      <c r="AC243" s="47">
        <f>AF243*F$7+E243+AC242</f>
        <v>100.66666666666666</v>
      </c>
      <c r="AD243" s="43">
        <v>0</v>
      </c>
      <c r="AE243" s="1">
        <v>0</v>
      </c>
      <c r="AF243" s="1">
        <v>0</v>
      </c>
      <c r="AG243" s="1">
        <v>0</v>
      </c>
      <c r="AH243" s="44">
        <v>67</v>
      </c>
    </row>
    <row r="244" spans="1:34" x14ac:dyDescent="0.25">
      <c r="A244" s="57">
        <v>2</v>
      </c>
      <c r="B244" s="58">
        <v>9</v>
      </c>
      <c r="C244" s="58">
        <v>500</v>
      </c>
      <c r="D244" s="58">
        <v>2</v>
      </c>
      <c r="E244" s="66">
        <f t="shared" si="25"/>
        <v>77</v>
      </c>
      <c r="F244" s="67">
        <v>76</v>
      </c>
      <c r="G244" s="68">
        <f>H243*(1-AD244*C$5)</f>
        <v>70.466666666666654</v>
      </c>
      <c r="H244" s="69">
        <f>G244+E244</f>
        <v>147.46666666666664</v>
      </c>
      <c r="I244" s="70">
        <f>(H244/D$5)^E$5</f>
        <v>0.42144560641664969</v>
      </c>
      <c r="J244" s="70">
        <f>(G244/D$5)^E$5</f>
        <v>0.11746622079432449</v>
      </c>
      <c r="K244" s="29">
        <f>1-EXP(J244-I244)</f>
        <v>0.26212392285005737</v>
      </c>
      <c r="L244" s="51">
        <f>M243*(1-AE244*C$6)</f>
        <v>70.466666666666654</v>
      </c>
      <c r="M244" s="52">
        <f>L244+E244</f>
        <v>147.46666666666664</v>
      </c>
      <c r="N244" s="17">
        <f>(M244/D$6)^E$6</f>
        <v>0.35979661759585591</v>
      </c>
      <c r="O244" s="17">
        <f>(L244/D$6)^E$6</f>
        <v>8.9768097666615101E-2</v>
      </c>
      <c r="P244" s="32">
        <f>1-EXP(O244-N244)</f>
        <v>0.23664227688185091</v>
      </c>
      <c r="Q244" s="53">
        <f>R243*(1-AF244*C$7)</f>
        <v>70.466666666666654</v>
      </c>
      <c r="R244" s="54">
        <f>Q244+E244</f>
        <v>147.46666666666664</v>
      </c>
      <c r="S244" s="16">
        <f>(R244/D$7)^E$7</f>
        <v>1.0776048006073178</v>
      </c>
      <c r="T244" s="16">
        <f>(Q244/D$7)^E$7</f>
        <v>0.17911579648738157</v>
      </c>
      <c r="U244" s="35">
        <f>1-EXP(T244-S244)</f>
        <v>0.59281555082339077</v>
      </c>
      <c r="V244" s="55">
        <f>W243*(1-AG244*C$8)</f>
        <v>70.466666666666654</v>
      </c>
      <c r="W244" s="56">
        <f>V244+E244</f>
        <v>147.46666666666664</v>
      </c>
      <c r="X244" s="18">
        <f>(W244/D$8)^E$8</f>
        <v>5.9787753062133631E-2</v>
      </c>
      <c r="Y244" s="18">
        <f>(V244/D$8)^E$8</f>
        <v>9.230295179589924E-3</v>
      </c>
      <c r="Z244" s="38">
        <f>1-EXP(Y244-X244)</f>
        <v>4.9300698065851356E-2</v>
      </c>
      <c r="AA244" s="41">
        <f>K244*P244*U244*Z244</f>
        <v>1.8128908222401145E-3</v>
      </c>
      <c r="AB244" s="42">
        <f>1-AA244</f>
        <v>0.99818710917775988</v>
      </c>
      <c r="AC244" s="47">
        <f>(AF244*F$7)+E244+AC243</f>
        <v>185.66666666666666</v>
      </c>
      <c r="AD244" s="77">
        <v>1</v>
      </c>
      <c r="AE244" s="78">
        <v>1</v>
      </c>
      <c r="AF244" s="78">
        <v>1</v>
      </c>
      <c r="AG244" s="78">
        <v>1</v>
      </c>
      <c r="AH244" s="79">
        <v>40</v>
      </c>
    </row>
    <row r="245" spans="1:34" ht="15.75" thickBot="1" x14ac:dyDescent="0.3">
      <c r="A245" s="76">
        <v>4</v>
      </c>
      <c r="B245" s="58">
        <v>8</v>
      </c>
      <c r="C245" s="58">
        <v>500</v>
      </c>
      <c r="D245" s="58">
        <v>3</v>
      </c>
      <c r="E245" s="66">
        <f t="shared" si="25"/>
        <v>69.666666666666671</v>
      </c>
      <c r="F245" s="67">
        <v>140</v>
      </c>
      <c r="G245" s="68">
        <f>H244*(1-AD245*C$5)</f>
        <v>103.22666666666665</v>
      </c>
      <c r="H245" s="69">
        <f>G245+E245</f>
        <v>172.89333333333332</v>
      </c>
      <c r="I245" s="70">
        <f>(H245/D$5)^E$5</f>
        <v>0.55495467561038181</v>
      </c>
      <c r="J245" s="70">
        <f>(G245/D$5)^E$5</f>
        <v>0.22738464809313327</v>
      </c>
      <c r="K245" s="29">
        <f>1-EXP(J245-I245)</f>
        <v>0.27932717742005098</v>
      </c>
      <c r="L245" s="51">
        <f>M244*(1-AE245*C$6)</f>
        <v>103.22666666666665</v>
      </c>
      <c r="M245" s="52">
        <f>L245+E245</f>
        <v>172.89333333333332</v>
      </c>
      <c r="N245" s="17">
        <f>(M245/D$6)^E$6</f>
        <v>0.48521667557272297</v>
      </c>
      <c r="O245" s="17">
        <f>(L245/D$6)^E$6</f>
        <v>0.18400998566919444</v>
      </c>
      <c r="P245" s="32">
        <f>1-EXP(O245-N245)</f>
        <v>0.26007517804950775</v>
      </c>
      <c r="Q245" s="53">
        <f>R244*(1-AF245*C$7)</f>
        <v>103.22666666666665</v>
      </c>
      <c r="R245" s="54">
        <f>Q245+E245</f>
        <v>172.89333333333332</v>
      </c>
      <c r="S245" s="16">
        <f>(R245/D$7)^E$7</f>
        <v>1.5861146273855486</v>
      </c>
      <c r="T245" s="16">
        <f>(Q245/D$7)^E$7</f>
        <v>0.45294738291064662</v>
      </c>
      <c r="U245" s="35">
        <f>1-EXP(T245-S245)</f>
        <v>0.67798825033960464</v>
      </c>
      <c r="V245" s="55">
        <f>W244*(1-AG245*C$8)</f>
        <v>103.22666666666665</v>
      </c>
      <c r="W245" s="56">
        <f>V245+E245</f>
        <v>172.89333333333332</v>
      </c>
      <c r="X245" s="18">
        <f>(W245/D$8)^E$8</f>
        <v>8.9411982268391046E-2</v>
      </c>
      <c r="Y245" s="18">
        <f>(V245/D$8)^E$8</f>
        <v>2.4249917941582027E-2</v>
      </c>
      <c r="Z245" s="38">
        <f>1-EXP(Y245-X245)</f>
        <v>6.3084389524921902E-2</v>
      </c>
      <c r="AA245" s="41">
        <f>K245*P245*U245*Z245</f>
        <v>3.1071067152254818E-3</v>
      </c>
      <c r="AB245" s="42">
        <f>1-AA245</f>
        <v>0.99689289328477448</v>
      </c>
      <c r="AC245" s="47">
        <f>(AF245*F$7)+E245+AC244</f>
        <v>263.33333333333331</v>
      </c>
      <c r="AD245" s="80">
        <v>1</v>
      </c>
      <c r="AE245" s="45">
        <v>1</v>
      </c>
      <c r="AF245" s="81">
        <v>1</v>
      </c>
      <c r="AG245" s="45">
        <v>1</v>
      </c>
      <c r="AH245" s="82">
        <v>85</v>
      </c>
    </row>
    <row r="246" spans="1:34" ht="18.75" x14ac:dyDescent="0.3">
      <c r="A246" s="132" t="s">
        <v>53</v>
      </c>
      <c r="B246" s="132"/>
      <c r="C246" s="132"/>
      <c r="D246" s="132"/>
      <c r="E246" s="132"/>
      <c r="F246" s="132"/>
      <c r="G246" s="132"/>
      <c r="H246" s="132"/>
      <c r="I246" s="132"/>
      <c r="J246" s="132"/>
      <c r="AG246" s="46"/>
    </row>
    <row r="247" spans="1:34" ht="15.75" x14ac:dyDescent="0.25">
      <c r="A247" s="19" t="s">
        <v>58</v>
      </c>
      <c r="B247" s="60" t="s">
        <v>49</v>
      </c>
      <c r="C247" s="61" t="s">
        <v>50</v>
      </c>
      <c r="D247" s="19" t="s">
        <v>54</v>
      </c>
      <c r="E247" s="60" t="s">
        <v>57</v>
      </c>
      <c r="F247" s="61" t="s">
        <v>50</v>
      </c>
      <c r="G247" s="19" t="s">
        <v>48</v>
      </c>
      <c r="H247" s="60" t="s">
        <v>61</v>
      </c>
      <c r="I247" s="61" t="s">
        <v>50</v>
      </c>
      <c r="J247" s="19" t="s">
        <v>82</v>
      </c>
      <c r="K247" s="83" t="s">
        <v>84</v>
      </c>
      <c r="L247" s="61" t="s">
        <v>50</v>
      </c>
      <c r="M247" s="61" t="s">
        <v>85</v>
      </c>
      <c r="O247" s="174" t="s">
        <v>64</v>
      </c>
      <c r="P247" s="174"/>
      <c r="Q247" s="175" t="s">
        <v>109</v>
      </c>
      <c r="R247" s="175"/>
    </row>
    <row r="248" spans="1:34" ht="24.75" x14ac:dyDescent="0.25">
      <c r="A248" s="61" t="s">
        <v>51</v>
      </c>
      <c r="B248" s="1">
        <f>AA242</f>
        <v>1.8543515323034395E-6</v>
      </c>
      <c r="C248" s="59">
        <f>MAX(AC242+1*L235-F242,0)</f>
        <v>0</v>
      </c>
      <c r="D248" s="62" t="s">
        <v>55</v>
      </c>
      <c r="E248" s="1">
        <f>AA242*AA243</f>
        <v>1.3557719424618909E-10</v>
      </c>
      <c r="F248" s="1">
        <f>MAX(AC243+2*L235-F243,0)</f>
        <v>29.666666666666657</v>
      </c>
      <c r="G248" s="62" t="s">
        <v>59</v>
      </c>
      <c r="H248" s="1">
        <f>AA242*AA243*AA244</f>
        <v>2.4578665115398147E-13</v>
      </c>
      <c r="I248" s="1">
        <f>AC244+3*L235-F244</f>
        <v>145.66666666666666</v>
      </c>
      <c r="J248" s="62" t="s">
        <v>83</v>
      </c>
      <c r="K248" s="1">
        <f>AA242*AA243*AA244*AA245</f>
        <v>7.6368535431331871E-16</v>
      </c>
      <c r="L248" s="1">
        <f>AC245+4*L235-F245</f>
        <v>171.33333333333331</v>
      </c>
      <c r="M248" s="1">
        <f>B248*C248*AH242+E248*F248*AH243+H248*I248*AH244+K248*L248*AH245</f>
        <v>2.7092550845510897E-7</v>
      </c>
      <c r="O248" s="1" t="s">
        <v>27</v>
      </c>
      <c r="P248" s="1">
        <f>2*H233</f>
        <v>3640</v>
      </c>
      <c r="Q248" s="1">
        <f>(K242*(1-P242)*(1-U242)*(1-Z242))+(P242*(1-K242)*(1-U242)*(1-Z242))+(U242*(1-K242)*(1-P242)*(1-Z242))+(Z242*(1-K242)*(1-P242)*(1-U242))</f>
        <v>0.19389466846386108</v>
      </c>
      <c r="R248" s="1">
        <f>Q248*(L$7*(J$5*K$5+L$5)+I$5)</f>
        <v>6833.8175900087836</v>
      </c>
    </row>
    <row r="249" spans="1:34" ht="24.75" x14ac:dyDescent="0.25">
      <c r="A249" s="62" t="s">
        <v>52</v>
      </c>
      <c r="B249" s="1">
        <f>AB242</f>
        <v>0.99999814564846767</v>
      </c>
      <c r="C249" s="59">
        <f>MAX(AC242-F242,0)</f>
        <v>0</v>
      </c>
      <c r="D249" s="62" t="s">
        <v>56</v>
      </c>
      <c r="E249" s="1">
        <f>AA242*AB243+AA243*AB242</f>
        <v>7.4967075343749566E-5</v>
      </c>
      <c r="F249" s="1">
        <f>MAX(AC243+1*L235-F243,0)</f>
        <v>17.666666666666657</v>
      </c>
      <c r="G249" s="62" t="s">
        <v>60</v>
      </c>
      <c r="H249" s="1">
        <f>AA242*AA243*AB244+AA243*AA244*AB242+AA242*AA244*AB243</f>
        <v>1.360424542684618E-7</v>
      </c>
      <c r="I249" s="1">
        <f>AC244+2*L235-F244</f>
        <v>133.66666666666666</v>
      </c>
      <c r="J249" s="62" t="s">
        <v>59</v>
      </c>
      <c r="K249">
        <f>AB242*AA243*AA244*AA245+AB243*AA242*AA244*AA245*+AB244*AA242*AA243*AA245+AB245*AA242*AA243*AA244</f>
        <v>4.1207844552273331E-10</v>
      </c>
      <c r="L249" s="1">
        <f>AC245+3*L235-F245</f>
        <v>159.33333333333331</v>
      </c>
      <c r="M249" s="1">
        <f>B249*C249*AH242+E249*F249*AH243+H249*I249*AH244+K249*L249*AH245</f>
        <v>8.9468982753120749E-2</v>
      </c>
      <c r="O249" s="1" t="s">
        <v>28</v>
      </c>
      <c r="P249" s="1">
        <f>2*H234</f>
        <v>5440</v>
      </c>
      <c r="Q249" s="1">
        <f t="shared" ref="Q249:Q251" si="26">(K243*(1-P243)*(1-U243)*(1-Z243))+(P243*(1-K243)*(1-U243)*(1-Z243))+(U243*(1-K243)*(1-P243)*(1-Z243))+(Z243*(1-K243)*(1-P243)*(1-U243))</f>
        <v>0.37330502838363955</v>
      </c>
      <c r="R249" s="1">
        <f t="shared" ref="R249:R251" si="27">Q249*(L$7*(J$5*K$5+L$5)+I$5)</f>
        <v>13157.135725381377</v>
      </c>
    </row>
    <row r="250" spans="1:34" ht="24.75" x14ac:dyDescent="0.25">
      <c r="A250" s="1"/>
      <c r="B250" s="1"/>
      <c r="C250" s="1"/>
      <c r="D250" s="62" t="s">
        <v>52</v>
      </c>
      <c r="E250" s="1">
        <f>AB242*AB243</f>
        <v>0.99992503278907907</v>
      </c>
      <c r="F250" s="59">
        <f>MAX(AC243-F243,0)</f>
        <v>5.6666666666666572</v>
      </c>
      <c r="G250" s="62" t="s">
        <v>56</v>
      </c>
      <c r="H250" s="1">
        <f>AA242*AB243*AB244+AA243*AB242*AB244*+AA244*AB242*AB243</f>
        <v>1.983149886473347E-6</v>
      </c>
      <c r="I250" s="1">
        <f>AC244+1*L235-F244</f>
        <v>121.66666666666666</v>
      </c>
      <c r="J250" s="62" t="s">
        <v>60</v>
      </c>
      <c r="K250" s="1">
        <f>AA242*AA243*AB244*AB245 + AA242*AA244*AB243*AB245 + AA242*AA245*AB243*AB244 + AA243*AA244*AB242*AB245 + AA243*AA245*AB242*AB244 + AA244*AA245*AB242*AB243</f>
        <v>6.0005511501876701E-6</v>
      </c>
      <c r="L250" s="1">
        <f>AC245+2*L235-F245</f>
        <v>147.33333333333331</v>
      </c>
      <c r="M250" s="1">
        <f>B250*C250*AH242+E250*F250*AH243+H250*I250*AH244+K250*L250*AH245</f>
        <v>379.7230023472714</v>
      </c>
      <c r="O250" s="1" t="s">
        <v>29</v>
      </c>
      <c r="P250" s="1">
        <f>2*(F235*(J233*K233+L233)+H235)</f>
        <v>28200</v>
      </c>
      <c r="Q250" s="1">
        <f t="shared" si="26"/>
        <v>0.47380927672133455</v>
      </c>
      <c r="R250" s="1">
        <f t="shared" si="27"/>
        <v>16699.407958043437</v>
      </c>
    </row>
    <row r="251" spans="1:34" ht="24.75" x14ac:dyDescent="0.25">
      <c r="A251" s="1"/>
      <c r="B251" s="1"/>
      <c r="C251" s="1"/>
      <c r="D251" s="1"/>
      <c r="E251" s="1"/>
      <c r="F251" s="1"/>
      <c r="G251" s="62" t="s">
        <v>52</v>
      </c>
      <c r="H251" s="1">
        <f>AB242*AB243*AB244</f>
        <v>0.99811227787420764</v>
      </c>
      <c r="I251" s="63">
        <f>AC244-F244</f>
        <v>109.66666666666666</v>
      </c>
      <c r="J251" s="62" t="s">
        <v>56</v>
      </c>
      <c r="K251" s="1">
        <f>AA242*AB243*AB244*AB245+AA243*AB242*AB244*AB245+AA244*AB242*AB243*AB245+AA245*AB242*AB243*AB244</f>
        <v>4.9829625128299656E-3</v>
      </c>
      <c r="L251" s="1">
        <f>AC245+1*L235-F245</f>
        <v>135.33333333333331</v>
      </c>
      <c r="M251" s="1">
        <f>B251*C251*AH242+E251*F251*AH243+H251*I251*AH244+K251*L251*AH245</f>
        <v>4435.7065377141116</v>
      </c>
      <c r="O251" s="1" t="s">
        <v>30</v>
      </c>
      <c r="P251" s="1">
        <f>2*H236</f>
        <v>8640</v>
      </c>
      <c r="Q251" s="1">
        <f t="shared" si="26"/>
        <v>0.46846035195017749</v>
      </c>
      <c r="R251" s="1">
        <f t="shared" si="27"/>
        <v>16510.885104484005</v>
      </c>
    </row>
    <row r="252" spans="1:34" ht="30" x14ac:dyDescent="0.25">
      <c r="I252" s="84"/>
      <c r="J252" s="62" t="s">
        <v>52</v>
      </c>
      <c r="K252" s="85">
        <f>AB242*AB243*AB244*AB245</f>
        <v>0.99501103651307565</v>
      </c>
      <c r="L252" s="1">
        <f>AC245+0*L235-F245</f>
        <v>123.33333333333331</v>
      </c>
      <c r="M252" s="1">
        <f>B252*C252*AH242+E252*F252*AH243+H252*I252*AH244+K252*L252*AH245</f>
        <v>10431.032366112075</v>
      </c>
      <c r="O252" s="64" t="s">
        <v>65</v>
      </c>
      <c r="P252" s="65">
        <f>SUM(P248:P251)</f>
        <v>45920</v>
      </c>
      <c r="Q252" s="96" t="s">
        <v>108</v>
      </c>
      <c r="R252" s="97">
        <f>SUM(R248:R251)</f>
        <v>53201.246377917603</v>
      </c>
    </row>
    <row r="253" spans="1:34" x14ac:dyDescent="0.25">
      <c r="L253" s="176" t="s">
        <v>63</v>
      </c>
      <c r="M253" s="177">
        <f>SUM(M248:M252)</f>
        <v>15246.551375427136</v>
      </c>
    </row>
    <row r="254" spans="1:34" x14ac:dyDescent="0.25">
      <c r="L254" s="176"/>
      <c r="M254" s="177"/>
    </row>
    <row r="255" spans="1:34" x14ac:dyDescent="0.25">
      <c r="A255" s="178" t="s">
        <v>90</v>
      </c>
      <c r="B255" s="178"/>
      <c r="C255" s="178"/>
      <c r="D255" s="178"/>
      <c r="E255" s="178"/>
      <c r="F255" s="178"/>
      <c r="G255" s="178"/>
      <c r="H255" s="178"/>
      <c r="I255" s="178"/>
      <c r="J255" s="178"/>
      <c r="K255" s="178"/>
      <c r="L255" s="178"/>
      <c r="M255" s="178"/>
      <c r="N255" s="178"/>
    </row>
    <row r="256" spans="1:34" ht="15.75" x14ac:dyDescent="0.25">
      <c r="A256" s="87" t="s">
        <v>77</v>
      </c>
      <c r="B256" s="62" t="s">
        <v>49</v>
      </c>
      <c r="C256" s="90" t="s">
        <v>78</v>
      </c>
      <c r="D256" s="62" t="s">
        <v>88</v>
      </c>
      <c r="E256" s="87" t="s">
        <v>76</v>
      </c>
      <c r="F256" s="62" t="s">
        <v>57</v>
      </c>
      <c r="G256" s="90" t="s">
        <v>102</v>
      </c>
      <c r="H256" s="62" t="s">
        <v>88</v>
      </c>
      <c r="I256" s="87" t="s">
        <v>75</v>
      </c>
      <c r="J256" s="62" t="s">
        <v>61</v>
      </c>
      <c r="K256" s="90" t="s">
        <v>87</v>
      </c>
      <c r="L256" s="62" t="s">
        <v>88</v>
      </c>
      <c r="M256" s="87" t="s">
        <v>86</v>
      </c>
      <c r="N256" s="62" t="s">
        <v>84</v>
      </c>
      <c r="O256" s="90" t="s">
        <v>103</v>
      </c>
      <c r="P256" s="62" t="s">
        <v>88</v>
      </c>
    </row>
    <row r="257" spans="1:22" ht="24.75" x14ac:dyDescent="0.25">
      <c r="A257" s="62" t="s">
        <v>51</v>
      </c>
      <c r="B257" s="86">
        <v>1.8543515323034395E-6</v>
      </c>
      <c r="C257" s="86">
        <f>AC242+1*L235</f>
        <v>67</v>
      </c>
      <c r="D257" s="86">
        <f>MAX(B257*1.5*((C257-F242)*500/2),0)</f>
        <v>0</v>
      </c>
      <c r="E257" s="62" t="s">
        <v>55</v>
      </c>
      <c r="F257" s="86">
        <v>1.3557719424618909E-10</v>
      </c>
      <c r="G257" s="86">
        <f>AC243+2*L235</f>
        <v>124.66666666666666</v>
      </c>
      <c r="H257" s="86">
        <f>F257*1.5*((G257-F243)*500/2+(G257-F244)*500)</f>
        <v>6.456863875974754E-6</v>
      </c>
      <c r="I257" s="62" t="s">
        <v>59</v>
      </c>
      <c r="J257" s="86">
        <v>2.4578665115398147E-13</v>
      </c>
      <c r="K257" s="86">
        <f>AC244+3*L235</f>
        <v>221.66666666666666</v>
      </c>
      <c r="L257" s="86">
        <f>J257*1.5*((K257-G257)*500/2+(K257-F245)*500)</f>
        <v>2.3994921818907439E-8</v>
      </c>
      <c r="M257" s="62" t="s">
        <v>83</v>
      </c>
      <c r="N257" s="86">
        <v>7.6368535431331871E-16</v>
      </c>
      <c r="O257" s="86">
        <f>AC245+4*L235</f>
        <v>311.33333333333331</v>
      </c>
      <c r="P257" s="86">
        <f>N257*1.5*((O257-K257)*500/2)</f>
        <v>2.5678920038785338E-11</v>
      </c>
    </row>
    <row r="258" spans="1:22" ht="24.75" x14ac:dyDescent="0.25">
      <c r="A258" s="62" t="s">
        <v>52</v>
      </c>
      <c r="B258" s="86">
        <v>0.99999814564846767</v>
      </c>
      <c r="C258" s="88">
        <f>AC242</f>
        <v>55</v>
      </c>
      <c r="D258" s="86">
        <f>MAX(B258*1.5*((C258-F242)*500/2),0)</f>
        <v>0</v>
      </c>
      <c r="E258" s="62" t="s">
        <v>56</v>
      </c>
      <c r="F258" s="86">
        <v>7.4967075343749566E-5</v>
      </c>
      <c r="G258" s="86">
        <f>AC243+1*L235</f>
        <v>112.66666666666666</v>
      </c>
      <c r="H258" s="86">
        <f>F258*1.5*((G258-F243)*500/2+(G258-F244)*500)</f>
        <v>2.5582514461054529</v>
      </c>
      <c r="I258" s="62" t="s">
        <v>60</v>
      </c>
      <c r="J258" s="86">
        <v>1.360424542684618E-7</v>
      </c>
      <c r="K258" s="86">
        <f>AC244+2*L235</f>
        <v>209.66666666666666</v>
      </c>
      <c r="L258" s="86">
        <f>J258*1.5*((K258-G258)*500/2+(K258-F245)*500)</f>
        <v>1.2056762509542426E-2</v>
      </c>
      <c r="M258" s="62" t="s">
        <v>59</v>
      </c>
      <c r="N258" s="86">
        <v>4.1207844552273331E-10</v>
      </c>
      <c r="O258" s="86">
        <f>AC245+3*L235</f>
        <v>299.33333333333331</v>
      </c>
      <c r="P258" s="86">
        <f>N258*1.5*((O258-K258)*500/2)</f>
        <v>1.3856137730701905E-5</v>
      </c>
    </row>
    <row r="259" spans="1:22" x14ac:dyDescent="0.25">
      <c r="A259" s="86"/>
      <c r="B259" s="86"/>
      <c r="C259" s="89" t="s">
        <v>89</v>
      </c>
      <c r="D259" s="89">
        <f>SUM(D257:D258)</f>
        <v>0</v>
      </c>
      <c r="E259" s="62" t="s">
        <v>52</v>
      </c>
      <c r="F259" s="86">
        <v>0.99992503278907907</v>
      </c>
      <c r="G259" s="86">
        <f>AC243+0*L235</f>
        <v>100.66666666666666</v>
      </c>
      <c r="H259" s="86">
        <f>F259*1.5*((G259-F243)*500/2+(G259-F244)*500)</f>
        <v>20623.453801274743</v>
      </c>
      <c r="I259" s="62" t="s">
        <v>56</v>
      </c>
      <c r="J259" s="86">
        <v>1.983149886473347E-6</v>
      </c>
      <c r="K259" s="86">
        <f>AC244+1*L235</f>
        <v>197.66666666666666</v>
      </c>
      <c r="L259" s="86">
        <f>J259*1.5*((K259-G259)*500/2+(K259-F245)*500)</f>
        <v>0.15790830971044023</v>
      </c>
      <c r="M259" s="62" t="s">
        <v>60</v>
      </c>
      <c r="N259" s="86">
        <v>6.0005511501876701E-6</v>
      </c>
      <c r="O259" s="86">
        <f>AC245+2*L235</f>
        <v>287.33333333333331</v>
      </c>
      <c r="P259" s="86">
        <f>N259*1.5*((O259-K259)*500/2)</f>
        <v>0.20176853242506038</v>
      </c>
    </row>
    <row r="260" spans="1:22" x14ac:dyDescent="0.25">
      <c r="A260" s="86"/>
      <c r="B260" s="86"/>
      <c r="C260" s="86"/>
      <c r="D260" s="86"/>
      <c r="E260" s="86"/>
      <c r="F260" s="86"/>
      <c r="G260" s="89" t="s">
        <v>79</v>
      </c>
      <c r="H260" s="89">
        <f>SUM(H257:H259)</f>
        <v>20626.012059177712</v>
      </c>
      <c r="I260" s="62" t="s">
        <v>52</v>
      </c>
      <c r="J260" s="86">
        <v>0.99811227787420764</v>
      </c>
      <c r="K260" s="86">
        <f>AC244+0*L235</f>
        <v>185.66666666666666</v>
      </c>
      <c r="L260" s="86">
        <f>J260*1.5*((K260-G259)*500/2+(K260-F245)*500)</f>
        <v>66000.174374431968</v>
      </c>
      <c r="M260" s="62" t="s">
        <v>56</v>
      </c>
      <c r="N260" s="86">
        <v>4.9829625128299656E-3</v>
      </c>
      <c r="O260" s="86">
        <f>AC245+1*L235</f>
        <v>275.33333333333331</v>
      </c>
      <c r="P260" s="86">
        <f>N260*1.5*((O260-K260)*500/2)</f>
        <v>167.55211449390757</v>
      </c>
    </row>
    <row r="261" spans="1:22" x14ac:dyDescent="0.25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9" t="s">
        <v>79</v>
      </c>
      <c r="L261" s="89">
        <f>SUM(L257:L260)</f>
        <v>66000.344339528179</v>
      </c>
      <c r="M261" s="62" t="s">
        <v>52</v>
      </c>
      <c r="N261" s="86">
        <v>0.99501103651307565</v>
      </c>
      <c r="O261" s="86">
        <f>AC245+0*L235</f>
        <v>263.33333333333331</v>
      </c>
      <c r="P261" s="86">
        <f>N261*1.5*((O261-K260)*500/2)</f>
        <v>28979.696438443327</v>
      </c>
      <c r="Q261" s="179" t="s">
        <v>80</v>
      </c>
      <c r="R261" s="179"/>
      <c r="S261" s="180">
        <f>D259+H260+L261+P262</f>
        <v>115773.80673403171</v>
      </c>
      <c r="T261" s="180"/>
    </row>
    <row r="262" spans="1:22" x14ac:dyDescent="0.25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9" t="s">
        <v>79</v>
      </c>
      <c r="P262" s="89">
        <f>SUM(P257:P261)</f>
        <v>29147.450335325822</v>
      </c>
      <c r="Q262" s="179"/>
      <c r="R262" s="179"/>
      <c r="S262" s="180"/>
      <c r="T262" s="180"/>
    </row>
    <row r="263" spans="1:22" x14ac:dyDescent="0.25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</row>
    <row r="264" spans="1:22" x14ac:dyDescent="0.25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</row>
    <row r="265" spans="1:22" x14ac:dyDescent="0.25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</row>
    <row r="266" spans="1:22" ht="24" x14ac:dyDescent="0.25">
      <c r="O266" s="131" t="s">
        <v>81</v>
      </c>
      <c r="P266" s="131"/>
      <c r="Q266" s="131">
        <f>(R252+P252+M253+S261)/AC245</f>
        <v>873.95546007864482</v>
      </c>
      <c r="R266" s="131"/>
    </row>
    <row r="267" spans="1:22" ht="15.75" thickBot="1" x14ac:dyDescent="0.3"/>
    <row r="268" spans="1:22" x14ac:dyDescent="0.25">
      <c r="A268" s="181" t="s">
        <v>111</v>
      </c>
      <c r="B268" s="182"/>
    </row>
    <row r="269" spans="1:22" ht="15.75" thickBot="1" x14ac:dyDescent="0.3">
      <c r="A269" s="183"/>
      <c r="B269" s="184"/>
    </row>
    <row r="270" spans="1:22" ht="21" x14ac:dyDescent="0.35">
      <c r="A270" s="185" t="s">
        <v>14</v>
      </c>
      <c r="B270" s="185"/>
      <c r="C270" s="165"/>
      <c r="D270" s="165"/>
      <c r="E270" s="165"/>
      <c r="F270" s="165"/>
      <c r="G270" s="165"/>
      <c r="H270" s="165"/>
      <c r="I270" s="165"/>
      <c r="J270" s="165"/>
      <c r="K270" s="165"/>
      <c r="L270" s="165"/>
      <c r="M270" s="165"/>
      <c r="O270" s="166" t="s">
        <v>72</v>
      </c>
      <c r="P270" s="166"/>
      <c r="Q270" s="166"/>
      <c r="R270" s="166"/>
      <c r="S270" s="166"/>
      <c r="T270" s="166"/>
      <c r="U270" s="166"/>
      <c r="V270" s="166"/>
    </row>
    <row r="271" spans="1:22" ht="36" x14ac:dyDescent="0.25">
      <c r="A271" s="4" t="s">
        <v>15</v>
      </c>
      <c r="B271" s="4" t="s">
        <v>16</v>
      </c>
      <c r="C271" s="4" t="s">
        <v>31</v>
      </c>
      <c r="D271" s="6" t="s">
        <v>17</v>
      </c>
      <c r="E271" s="6" t="s">
        <v>18</v>
      </c>
      <c r="F271" s="6" t="s">
        <v>19</v>
      </c>
      <c r="G271" s="6" t="s">
        <v>20</v>
      </c>
      <c r="H271" s="6" t="s">
        <v>21</v>
      </c>
      <c r="I271" s="6" t="s">
        <v>22</v>
      </c>
      <c r="J271" s="6" t="s">
        <v>23</v>
      </c>
      <c r="K271" s="6" t="s">
        <v>24</v>
      </c>
      <c r="L271" s="6" t="s">
        <v>25</v>
      </c>
      <c r="M271" s="6" t="s">
        <v>26</v>
      </c>
      <c r="N271" s="8"/>
      <c r="O271" s="167" t="s">
        <v>32</v>
      </c>
      <c r="P271" s="167" t="s">
        <v>35</v>
      </c>
      <c r="Q271" s="167" t="s">
        <v>66</v>
      </c>
      <c r="R271" s="99" t="s">
        <v>67</v>
      </c>
      <c r="S271" s="99" t="s">
        <v>68</v>
      </c>
      <c r="T271" s="167" t="s">
        <v>69</v>
      </c>
      <c r="U271" s="71" t="s">
        <v>33</v>
      </c>
      <c r="V271" s="99" t="s">
        <v>70</v>
      </c>
    </row>
    <row r="272" spans="1:22" x14ac:dyDescent="0.25">
      <c r="A272" s="3" t="s">
        <v>27</v>
      </c>
      <c r="B272" s="3">
        <v>0</v>
      </c>
      <c r="C272" s="3">
        <v>0.3</v>
      </c>
      <c r="D272" s="3">
        <v>243</v>
      </c>
      <c r="E272" s="3">
        <v>1.73</v>
      </c>
      <c r="F272" s="3">
        <v>5</v>
      </c>
      <c r="G272" s="169">
        <v>12</v>
      </c>
      <c r="H272" s="3">
        <v>1820</v>
      </c>
      <c r="I272" s="169">
        <v>19645</v>
      </c>
      <c r="J272" s="3">
        <v>20</v>
      </c>
      <c r="K272" s="3">
        <v>40</v>
      </c>
      <c r="L272" s="3">
        <v>500</v>
      </c>
      <c r="M272" s="3">
        <v>1000</v>
      </c>
      <c r="O272" s="168"/>
      <c r="P272" s="168"/>
      <c r="Q272" s="168"/>
      <c r="R272" s="72" t="s">
        <v>71</v>
      </c>
      <c r="S272" s="72" t="s">
        <v>71</v>
      </c>
      <c r="T272" s="168"/>
      <c r="U272" s="73">
        <v>500</v>
      </c>
      <c r="V272" s="3">
        <v>1.5</v>
      </c>
    </row>
    <row r="273" spans="1:34" x14ac:dyDescent="0.25">
      <c r="A273" s="3" t="s">
        <v>28</v>
      </c>
      <c r="B273" s="3">
        <v>0</v>
      </c>
      <c r="C273" s="3">
        <v>0.3</v>
      </c>
      <c r="D273" s="3">
        <v>254</v>
      </c>
      <c r="E273" s="3">
        <v>1.88</v>
      </c>
      <c r="F273" s="3">
        <v>3</v>
      </c>
      <c r="G273" s="170"/>
      <c r="H273" s="3">
        <v>2720</v>
      </c>
      <c r="I273" s="170"/>
      <c r="J273" s="5"/>
      <c r="K273" s="5"/>
      <c r="L273" s="5"/>
      <c r="M273" s="5"/>
      <c r="O273" s="74">
        <v>1</v>
      </c>
      <c r="P273" s="74">
        <v>106</v>
      </c>
      <c r="Q273" s="74">
        <v>110</v>
      </c>
      <c r="R273" s="74">
        <v>6</v>
      </c>
      <c r="S273" s="74">
        <v>5</v>
      </c>
      <c r="T273" s="74">
        <f>R273*$U$5/60+S273</f>
        <v>55</v>
      </c>
      <c r="U273" s="75"/>
    </row>
    <row r="274" spans="1:34" x14ac:dyDescent="0.25">
      <c r="A274" s="3" t="s">
        <v>29</v>
      </c>
      <c r="B274" s="3">
        <v>0</v>
      </c>
      <c r="C274" s="3">
        <v>0.3</v>
      </c>
      <c r="D274" s="3">
        <v>143</v>
      </c>
      <c r="E274" s="3">
        <v>2.4300000000000002</v>
      </c>
      <c r="F274" s="3">
        <v>8</v>
      </c>
      <c r="G274" s="170"/>
      <c r="H274" s="3">
        <v>3700</v>
      </c>
      <c r="I274" s="170"/>
      <c r="J274" s="5"/>
      <c r="K274" s="140" t="s">
        <v>73</v>
      </c>
      <c r="L274" s="141">
        <v>12</v>
      </c>
      <c r="M274" s="140" t="s">
        <v>74</v>
      </c>
      <c r="N274" s="141">
        <v>19645</v>
      </c>
      <c r="O274" s="74">
        <v>2</v>
      </c>
      <c r="P274" s="74">
        <v>76</v>
      </c>
      <c r="Q274" s="74">
        <v>40</v>
      </c>
      <c r="R274" s="74">
        <v>9</v>
      </c>
      <c r="S274" s="74">
        <v>2</v>
      </c>
      <c r="T274" s="74">
        <f t="shared" ref="T274:T276" si="28">R274*$U$5/60+S274</f>
        <v>77</v>
      </c>
      <c r="U274" s="75"/>
    </row>
    <row r="275" spans="1:34" x14ac:dyDescent="0.25">
      <c r="A275" s="3" t="s">
        <v>30</v>
      </c>
      <c r="B275" s="3">
        <v>0</v>
      </c>
      <c r="C275" s="3">
        <v>0.3</v>
      </c>
      <c r="D275" s="3">
        <v>449</v>
      </c>
      <c r="E275" s="3">
        <v>2.5299999999999998</v>
      </c>
      <c r="F275" s="3">
        <v>4</v>
      </c>
      <c r="G275" s="171"/>
      <c r="H275" s="3">
        <v>4320</v>
      </c>
      <c r="I275" s="171"/>
      <c r="J275" s="5"/>
      <c r="K275" s="140"/>
      <c r="L275" s="141"/>
      <c r="M275" s="140"/>
      <c r="N275" s="141"/>
      <c r="O275" s="74">
        <v>3</v>
      </c>
      <c r="P275" s="74">
        <v>95</v>
      </c>
      <c r="Q275" s="74">
        <v>67</v>
      </c>
      <c r="R275" s="74">
        <v>5</v>
      </c>
      <c r="S275" s="74">
        <v>4</v>
      </c>
      <c r="T275" s="74">
        <f t="shared" si="28"/>
        <v>45.666666666666664</v>
      </c>
      <c r="U275" s="75"/>
    </row>
    <row r="276" spans="1:34" ht="15.75" thickBo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O276" s="74">
        <v>4</v>
      </c>
      <c r="P276" s="74">
        <v>140</v>
      </c>
      <c r="Q276" s="94">
        <v>85</v>
      </c>
      <c r="R276" s="94">
        <v>8</v>
      </c>
      <c r="S276" s="94">
        <v>3</v>
      </c>
      <c r="T276" s="74">
        <f t="shared" si="28"/>
        <v>69.666666666666671</v>
      </c>
    </row>
    <row r="277" spans="1:34" ht="15" customHeight="1" x14ac:dyDescent="0.25">
      <c r="A277" s="142" t="s">
        <v>100</v>
      </c>
      <c r="B277" s="144" t="s">
        <v>129</v>
      </c>
      <c r="C277" s="144"/>
      <c r="D277" s="144"/>
      <c r="E277" s="144"/>
      <c r="F277" s="20" t="s">
        <v>27</v>
      </c>
      <c r="G277" s="20" t="s">
        <v>28</v>
      </c>
      <c r="H277" s="20" t="s">
        <v>29</v>
      </c>
      <c r="I277" s="20" t="s">
        <v>30</v>
      </c>
    </row>
    <row r="278" spans="1:34" ht="15.75" customHeight="1" thickBot="1" x14ac:dyDescent="0.3">
      <c r="A278" s="143"/>
      <c r="B278" s="145"/>
      <c r="C278" s="145"/>
      <c r="D278" s="145"/>
      <c r="E278" s="145"/>
      <c r="F278" s="20">
        <v>91</v>
      </c>
      <c r="G278" s="26">
        <v>91</v>
      </c>
      <c r="H278" s="26">
        <v>91</v>
      </c>
      <c r="I278" s="26">
        <v>91</v>
      </c>
    </row>
    <row r="279" spans="1:34" ht="15.75" customHeight="1" thickBot="1" x14ac:dyDescent="0.3">
      <c r="A279" s="143"/>
      <c r="B279" s="145"/>
      <c r="C279" s="145"/>
      <c r="D279" s="145"/>
      <c r="E279" s="145"/>
      <c r="F279" s="7"/>
      <c r="G279" s="146" t="s">
        <v>27</v>
      </c>
      <c r="H279" s="147"/>
      <c r="I279" s="147"/>
      <c r="J279" s="147"/>
      <c r="K279" s="148"/>
      <c r="L279" s="149" t="s">
        <v>28</v>
      </c>
      <c r="M279" s="150"/>
      <c r="N279" s="150"/>
      <c r="O279" s="150"/>
      <c r="P279" s="151"/>
      <c r="Q279" s="152" t="s">
        <v>29</v>
      </c>
      <c r="R279" s="153"/>
      <c r="S279" s="153"/>
      <c r="T279" s="153"/>
      <c r="U279" s="154"/>
      <c r="V279" s="155" t="s">
        <v>30</v>
      </c>
      <c r="W279" s="156"/>
      <c r="X279" s="156"/>
      <c r="Y279" s="156"/>
      <c r="Z279" s="157"/>
      <c r="AA279" s="158" t="s">
        <v>42</v>
      </c>
      <c r="AB279" s="159"/>
      <c r="AC279" s="160" t="s">
        <v>44</v>
      </c>
      <c r="AD279" s="162" t="s">
        <v>47</v>
      </c>
      <c r="AE279" s="163"/>
      <c r="AF279" s="163"/>
      <c r="AG279" s="164"/>
      <c r="AH279" s="138" t="s">
        <v>62</v>
      </c>
    </row>
    <row r="280" spans="1:34" ht="36.75" x14ac:dyDescent="0.25">
      <c r="A280" s="21" t="s">
        <v>32</v>
      </c>
      <c r="B280" s="22" t="s">
        <v>37</v>
      </c>
      <c r="C280" s="23" t="s">
        <v>33</v>
      </c>
      <c r="D280" s="22" t="s">
        <v>38</v>
      </c>
      <c r="E280" s="22" t="s">
        <v>34</v>
      </c>
      <c r="F280" s="25" t="s">
        <v>35</v>
      </c>
      <c r="G280" s="27" t="s">
        <v>39</v>
      </c>
      <c r="H280" s="10" t="s">
        <v>40</v>
      </c>
      <c r="I280" s="10" t="s">
        <v>45</v>
      </c>
      <c r="J280" s="10" t="s">
        <v>46</v>
      </c>
      <c r="K280" s="28" t="s">
        <v>41</v>
      </c>
      <c r="L280" s="30" t="s">
        <v>39</v>
      </c>
      <c r="M280" s="13" t="s">
        <v>40</v>
      </c>
      <c r="N280" s="13" t="s">
        <v>45</v>
      </c>
      <c r="O280" s="13" t="s">
        <v>46</v>
      </c>
      <c r="P280" s="31" t="s">
        <v>41</v>
      </c>
      <c r="Q280" s="33" t="s">
        <v>39</v>
      </c>
      <c r="R280" s="12" t="s">
        <v>40</v>
      </c>
      <c r="S280" s="12" t="s">
        <v>45</v>
      </c>
      <c r="T280" s="12" t="s">
        <v>46</v>
      </c>
      <c r="U280" s="34" t="s">
        <v>41</v>
      </c>
      <c r="V280" s="36" t="s">
        <v>39</v>
      </c>
      <c r="W280" s="11" t="s">
        <v>40</v>
      </c>
      <c r="X280" s="11" t="s">
        <v>45</v>
      </c>
      <c r="Y280" s="11" t="s">
        <v>46</v>
      </c>
      <c r="Z280" s="37" t="s">
        <v>41</v>
      </c>
      <c r="AA280" s="39" t="s">
        <v>41</v>
      </c>
      <c r="AB280" s="40" t="s">
        <v>43</v>
      </c>
      <c r="AC280" s="161"/>
      <c r="AD280" s="43" t="s">
        <v>27</v>
      </c>
      <c r="AE280" s="1" t="s">
        <v>28</v>
      </c>
      <c r="AF280" s="1" t="s">
        <v>29</v>
      </c>
      <c r="AG280" s="1" t="s">
        <v>30</v>
      </c>
      <c r="AH280" s="139"/>
    </row>
    <row r="281" spans="1:34" x14ac:dyDescent="0.25">
      <c r="A281" s="24">
        <v>1</v>
      </c>
      <c r="B281" s="9">
        <v>6</v>
      </c>
      <c r="C281" s="9">
        <v>500</v>
      </c>
      <c r="D281" s="9">
        <v>5</v>
      </c>
      <c r="E281" s="48">
        <f>B281*C281/60+D281</f>
        <v>55</v>
      </c>
      <c r="F281" s="14">
        <v>106</v>
      </c>
      <c r="G281" s="49">
        <f>B$5*(1-AD281*C$5)</f>
        <v>0</v>
      </c>
      <c r="H281" s="50">
        <f>G281+E281</f>
        <v>55</v>
      </c>
      <c r="I281" s="15">
        <f>(H281/D$5)^E$5</f>
        <v>7.6511831764011648E-2</v>
      </c>
      <c r="J281" s="15">
        <f>(G281/D$5)^E$5</f>
        <v>0</v>
      </c>
      <c r="K281" s="29">
        <f>1-EXP(J281-I281)</f>
        <v>7.3658046035411151E-2</v>
      </c>
      <c r="L281" s="51">
        <f>B$6*(1-AE281*C$6)</f>
        <v>0</v>
      </c>
      <c r="M281" s="52">
        <f>L281+E281</f>
        <v>55</v>
      </c>
      <c r="N281" s="17">
        <f>(M281/D$6)^E$6</f>
        <v>5.633709759436846E-2</v>
      </c>
      <c r="O281" s="17">
        <f>(L281/D$6)^E$6</f>
        <v>0</v>
      </c>
      <c r="P281" s="32">
        <f>1-EXP(O281-N281)</f>
        <v>5.4779549360660096E-2</v>
      </c>
      <c r="Q281" s="53">
        <f>B$7*(1-AF281*C$7)</f>
        <v>0</v>
      </c>
      <c r="R281" s="54">
        <f>Q281+E281</f>
        <v>55</v>
      </c>
      <c r="S281" s="16">
        <f>(R281/D$7)^E$7</f>
        <v>9.8087748172662498E-2</v>
      </c>
      <c r="T281" s="16">
        <f>(Q281/D$7)^E$7</f>
        <v>0</v>
      </c>
      <c r="U281" s="35">
        <f>1-EXP(T281-S281)</f>
        <v>9.3430649540250821E-2</v>
      </c>
      <c r="V281" s="55">
        <f>B$8*(1-AG281*C$8)</f>
        <v>0</v>
      </c>
      <c r="W281" s="56">
        <f>V281+E281</f>
        <v>55</v>
      </c>
      <c r="X281" s="18">
        <f>(W281/D$8)^E$8</f>
        <v>4.9309927237744132E-3</v>
      </c>
      <c r="Y281" s="18">
        <f>(V281/D$8)^E$8</f>
        <v>0</v>
      </c>
      <c r="Z281" s="38">
        <f>1-EXP(Y281-X281)</f>
        <v>4.9188553371368737E-3</v>
      </c>
      <c r="AA281" s="41">
        <f>K281*P281*U281*Z281</f>
        <v>1.8543515323034395E-6</v>
      </c>
      <c r="AB281" s="42">
        <f>1-AA281</f>
        <v>0.99999814564846767</v>
      </c>
      <c r="AC281" s="47">
        <f>(AD281*F$5+AE281*F$6+AF281*F$7+AG281*F$8)+E281</f>
        <v>55</v>
      </c>
      <c r="AD281" s="43">
        <v>0</v>
      </c>
      <c r="AE281" s="1">
        <v>0</v>
      </c>
      <c r="AF281" s="1">
        <v>0</v>
      </c>
      <c r="AG281" s="1">
        <v>0</v>
      </c>
      <c r="AH281" s="44">
        <v>110</v>
      </c>
    </row>
    <row r="282" spans="1:34" x14ac:dyDescent="0.25">
      <c r="A282" s="24">
        <v>3</v>
      </c>
      <c r="B282" s="9">
        <v>5</v>
      </c>
      <c r="C282" s="9">
        <v>500</v>
      </c>
      <c r="D282" s="9">
        <v>4</v>
      </c>
      <c r="E282" s="9">
        <f t="shared" ref="E282:E284" si="29">B282*C282/60+D282</f>
        <v>45.666666666666664</v>
      </c>
      <c r="F282" s="14">
        <v>95</v>
      </c>
      <c r="G282" s="49">
        <f>H281*(1-AD282*C$5)</f>
        <v>55</v>
      </c>
      <c r="H282" s="50">
        <f>G282+E282</f>
        <v>100.66666666666666</v>
      </c>
      <c r="I282" s="15">
        <f>(H282/D$5)^E$5</f>
        <v>0.21771752434165836</v>
      </c>
      <c r="J282" s="15">
        <f>(G282/D$5)^E$5</f>
        <v>7.6511831764011648E-2</v>
      </c>
      <c r="K282" s="29">
        <f>1-EXP(J282-I282)</f>
        <v>0.13168931173612675</v>
      </c>
      <c r="L282" s="51">
        <f>M281*(1-AE282*C$6)</f>
        <v>55</v>
      </c>
      <c r="M282" s="52">
        <f>L282+E282</f>
        <v>100.66666666666666</v>
      </c>
      <c r="N282" s="17">
        <f>(M282/D$6)^E$6</f>
        <v>0.17552448466860393</v>
      </c>
      <c r="O282" s="17">
        <f>(L282/D$6)^E$6</f>
        <v>5.633709759436846E-2</v>
      </c>
      <c r="P282" s="32">
        <f>1-EXP(O282-N282)</f>
        <v>0.11235854735808759</v>
      </c>
      <c r="Q282" s="53">
        <f>R281*(1-AF282*C$7)</f>
        <v>55</v>
      </c>
      <c r="R282" s="54">
        <f>Q282+E282</f>
        <v>100.66666666666666</v>
      </c>
      <c r="S282" s="16">
        <f>(R282/D$7)^E$7</f>
        <v>0.42613347475170693</v>
      </c>
      <c r="T282" s="16">
        <f>(Q282/D$7)^E$7</f>
        <v>9.8087748172662498E-2</v>
      </c>
      <c r="U282" s="35">
        <f>1-EXP(T282-S282)</f>
        <v>0.27966991927816065</v>
      </c>
      <c r="V282" s="55">
        <f>W281*(1-AG282*C$8)</f>
        <v>55</v>
      </c>
      <c r="W282" s="56">
        <f>V282+E282</f>
        <v>100.66666666666666</v>
      </c>
      <c r="X282" s="18">
        <f>(W282/D$8)^E$8</f>
        <v>2.275713304339216E-2</v>
      </c>
      <c r="Y282" s="18">
        <f>(V282/D$8)^E$8</f>
        <v>4.9309927237744132E-3</v>
      </c>
      <c r="Z282" s="38">
        <f>1-EXP(Y282-X282)</f>
        <v>1.766819459368596E-2</v>
      </c>
      <c r="AA282" s="41">
        <f>K282*P282*U282*Z282</f>
        <v>7.3112994965834617E-5</v>
      </c>
      <c r="AB282" s="42">
        <f>1-AA282</f>
        <v>0.99992688700503418</v>
      </c>
      <c r="AC282" s="47">
        <f>AF282*F$7+E282+AC281</f>
        <v>100.66666666666666</v>
      </c>
      <c r="AD282" s="43">
        <v>0</v>
      </c>
      <c r="AE282" s="1">
        <v>0</v>
      </c>
      <c r="AF282" s="1">
        <v>0</v>
      </c>
      <c r="AG282" s="1">
        <v>0</v>
      </c>
      <c r="AH282" s="44">
        <v>67</v>
      </c>
    </row>
    <row r="283" spans="1:34" x14ac:dyDescent="0.25">
      <c r="A283" s="57">
        <v>4</v>
      </c>
      <c r="B283" s="58">
        <v>8</v>
      </c>
      <c r="C283" s="58">
        <v>500</v>
      </c>
      <c r="D283" s="58">
        <v>3</v>
      </c>
      <c r="E283" s="66">
        <f t="shared" si="29"/>
        <v>69.666666666666671</v>
      </c>
      <c r="F283" s="67">
        <v>140</v>
      </c>
      <c r="G283" s="68">
        <f>H282*(1-AD283*C$5)</f>
        <v>70.466666666666654</v>
      </c>
      <c r="H283" s="69">
        <f>G283+E283</f>
        <v>140.13333333333333</v>
      </c>
      <c r="I283" s="70">
        <f>(H283/D$5)^E$5</f>
        <v>0.38584942708200459</v>
      </c>
      <c r="J283" s="70">
        <f>(G283/D$5)^E$5</f>
        <v>0.11746622079432449</v>
      </c>
      <c r="K283" s="29">
        <f>1-EXP(J283-I283)</f>
        <v>0.2353852802132943</v>
      </c>
      <c r="L283" s="51">
        <f>M282*(1-AE283*C$6)</f>
        <v>70.466666666666654</v>
      </c>
      <c r="M283" s="52">
        <f>L283+E283</f>
        <v>140.13333333333333</v>
      </c>
      <c r="N283" s="17">
        <f>(M283/D$6)^E$6</f>
        <v>0.32689670548124367</v>
      </c>
      <c r="O283" s="17">
        <f>(L283/D$6)^E$6</f>
        <v>8.9768097666615101E-2</v>
      </c>
      <c r="P283" s="32">
        <f>1-EXP(O283-N283)</f>
        <v>0.21111017590303682</v>
      </c>
      <c r="Q283" s="53">
        <f>R282*(1-AF283*C$7)</f>
        <v>70.466666666666654</v>
      </c>
      <c r="R283" s="54">
        <f>Q283+E283</f>
        <v>140.13333333333333</v>
      </c>
      <c r="S283" s="16">
        <f>(R283/D$7)^E$7</f>
        <v>0.95198292505493443</v>
      </c>
      <c r="T283" s="16">
        <f>(Q283/D$7)^E$7</f>
        <v>0.17911579648738157</v>
      </c>
      <c r="U283" s="35">
        <f>1-EXP(T283-S283)</f>
        <v>0.53831254841918419</v>
      </c>
      <c r="V283" s="55">
        <f>W282*(1-AG283*C$8)</f>
        <v>70.466666666666654</v>
      </c>
      <c r="W283" s="56">
        <f>V283+E283</f>
        <v>140.13333333333333</v>
      </c>
      <c r="X283" s="18">
        <f>(W283/D$8)^E$8</f>
        <v>5.2549263360210582E-2</v>
      </c>
      <c r="Y283" s="18">
        <f>(V283/D$8)^E$8</f>
        <v>9.230295179589924E-3</v>
      </c>
      <c r="Z283" s="38">
        <f>1-EXP(Y283-X283)</f>
        <v>4.2394104462147641E-2</v>
      </c>
      <c r="AA283" s="41">
        <f>K283*P283*U283*Z283</f>
        <v>1.1340401680139554E-3</v>
      </c>
      <c r="AB283" s="42">
        <f>1-AA283</f>
        <v>0.99886595983198601</v>
      </c>
      <c r="AC283" s="47">
        <f>(AF283*F$7)+E283+AC282</f>
        <v>178.33333333333331</v>
      </c>
      <c r="AD283" s="77">
        <v>1</v>
      </c>
      <c r="AE283" s="78">
        <v>1</v>
      </c>
      <c r="AF283" s="78">
        <v>1</v>
      </c>
      <c r="AG283" s="78">
        <v>1</v>
      </c>
      <c r="AH283" s="79">
        <v>85</v>
      </c>
    </row>
    <row r="284" spans="1:34" ht="15.75" thickBot="1" x14ac:dyDescent="0.3">
      <c r="A284" s="76">
        <v>2</v>
      </c>
      <c r="B284" s="58">
        <v>9</v>
      </c>
      <c r="C284" s="58">
        <v>500</v>
      </c>
      <c r="D284" s="58">
        <v>2</v>
      </c>
      <c r="E284" s="66">
        <f t="shared" si="29"/>
        <v>77</v>
      </c>
      <c r="F284" s="67">
        <v>76</v>
      </c>
      <c r="G284" s="68">
        <f>H283*(1-AD284*C$5)</f>
        <v>98.09333333333332</v>
      </c>
      <c r="H284" s="69">
        <f>G284+E284</f>
        <v>175.09333333333331</v>
      </c>
      <c r="I284" s="70">
        <f>(H284/D$5)^E$5</f>
        <v>0.56722788558876358</v>
      </c>
      <c r="J284" s="70">
        <f>(G284/D$5)^E$5</f>
        <v>0.20817926408097581</v>
      </c>
      <c r="K284" s="29">
        <f>1-EXP(J284-I284)</f>
        <v>0.30165960383690649</v>
      </c>
      <c r="L284" s="51">
        <f>M283*(1-AE284*C$6)</f>
        <v>98.09333333333332</v>
      </c>
      <c r="M284" s="52">
        <f>L284+E284</f>
        <v>175.09333333333331</v>
      </c>
      <c r="N284" s="17">
        <f>(M284/D$6)^E$6</f>
        <v>0.49688911241375849</v>
      </c>
      <c r="O284" s="17">
        <f>(L284/D$6)^E$6</f>
        <v>0.16718405662856181</v>
      </c>
      <c r="P284" s="32">
        <f>1-EXP(O284-N284)</f>
        <v>0.28086419289859976</v>
      </c>
      <c r="Q284" s="53">
        <f>R283*(1-AF284*C$7)</f>
        <v>98.09333333333332</v>
      </c>
      <c r="R284" s="54">
        <f>Q284+E284</f>
        <v>175.09333333333331</v>
      </c>
      <c r="S284" s="16">
        <f>(R284/D$7)^E$7</f>
        <v>1.6356055775969487</v>
      </c>
      <c r="T284" s="16">
        <f>(Q284/D$7)^E$7</f>
        <v>0.40014500142931764</v>
      </c>
      <c r="U284" s="35">
        <f>1-EXP(T284-S284)</f>
        <v>0.70929915834970092</v>
      </c>
      <c r="V284" s="55">
        <f>W283*(1-AG284*C$8)</f>
        <v>98.09333333333332</v>
      </c>
      <c r="W284" s="56">
        <f>V284+E284</f>
        <v>175.09333333333331</v>
      </c>
      <c r="X284" s="18">
        <f>(W284/D$8)^E$8</f>
        <v>9.2318528237053152E-2</v>
      </c>
      <c r="Y284" s="18">
        <f>(V284/D$8)^E$8</f>
        <v>2.1313985876863013E-2</v>
      </c>
      <c r="Z284" s="38">
        <f>1-EXP(Y284-X284)</f>
        <v>6.8542338898215927E-2</v>
      </c>
      <c r="AA284" s="41">
        <f>K284*P284*U284*Z284</f>
        <v>4.1190958293501959E-3</v>
      </c>
      <c r="AB284" s="42">
        <f>1-AA284</f>
        <v>0.99588090417064978</v>
      </c>
      <c r="AC284" s="47">
        <f>(AF284*F$7)+E284+AC283</f>
        <v>263.33333333333331</v>
      </c>
      <c r="AD284" s="80">
        <v>1</v>
      </c>
      <c r="AE284" s="45">
        <v>1</v>
      </c>
      <c r="AF284" s="81">
        <v>1</v>
      </c>
      <c r="AG284" s="45">
        <v>1</v>
      </c>
      <c r="AH284" s="82">
        <v>40</v>
      </c>
    </row>
    <row r="285" spans="1:34" ht="18.75" x14ac:dyDescent="0.3">
      <c r="A285" s="132" t="s">
        <v>53</v>
      </c>
      <c r="B285" s="132"/>
      <c r="C285" s="132"/>
      <c r="D285" s="132"/>
      <c r="E285" s="132"/>
      <c r="F285" s="132"/>
      <c r="G285" s="132"/>
      <c r="H285" s="132"/>
      <c r="I285" s="132"/>
      <c r="J285" s="132"/>
      <c r="AG285" s="46"/>
    </row>
    <row r="286" spans="1:34" ht="15.75" x14ac:dyDescent="0.25">
      <c r="A286" s="19" t="s">
        <v>58</v>
      </c>
      <c r="B286" s="60" t="s">
        <v>49</v>
      </c>
      <c r="C286" s="61" t="s">
        <v>50</v>
      </c>
      <c r="D286" s="19" t="s">
        <v>54</v>
      </c>
      <c r="E286" s="60" t="s">
        <v>57</v>
      </c>
      <c r="F286" s="61" t="s">
        <v>50</v>
      </c>
      <c r="G286" s="19" t="s">
        <v>82</v>
      </c>
      <c r="H286" s="60" t="s">
        <v>61</v>
      </c>
      <c r="I286" s="61" t="s">
        <v>50</v>
      </c>
      <c r="J286" s="19" t="s">
        <v>48</v>
      </c>
      <c r="K286" s="83" t="s">
        <v>84</v>
      </c>
      <c r="L286" s="61" t="s">
        <v>50</v>
      </c>
      <c r="M286" s="61" t="s">
        <v>85</v>
      </c>
      <c r="O286" s="174" t="s">
        <v>64</v>
      </c>
      <c r="P286" s="174"/>
      <c r="Q286" s="175" t="s">
        <v>109</v>
      </c>
      <c r="R286" s="175"/>
    </row>
    <row r="287" spans="1:34" ht="24.75" x14ac:dyDescent="0.25">
      <c r="A287" s="61" t="s">
        <v>51</v>
      </c>
      <c r="B287" s="1">
        <f>AA281</f>
        <v>1.8543515323034395E-6</v>
      </c>
      <c r="C287" s="59">
        <f>MAX(AC281+1*L274-F281,0)</f>
        <v>0</v>
      </c>
      <c r="D287" s="62" t="s">
        <v>55</v>
      </c>
      <c r="E287" s="1">
        <f>AA281*AA282</f>
        <v>1.3557719424618909E-10</v>
      </c>
      <c r="F287" s="1">
        <f>MAX(AC282+2*L274-F282,0)</f>
        <v>29.666666666666657</v>
      </c>
      <c r="G287" s="62" t="s">
        <v>59</v>
      </c>
      <c r="H287" s="1">
        <f>AA281*AA282*AA283</f>
        <v>1.5374998414180895E-13</v>
      </c>
      <c r="I287" s="1">
        <f>AC283+3*L274-F283</f>
        <v>74.333333333333314</v>
      </c>
      <c r="J287" s="62" t="s">
        <v>83</v>
      </c>
      <c r="K287" s="1">
        <f>AA281*AA282*AA283*AA284</f>
        <v>6.3331091844118399E-16</v>
      </c>
      <c r="L287" s="1">
        <f>AC284+4*L274-F284</f>
        <v>235.33333333333331</v>
      </c>
      <c r="M287" s="1">
        <f>B287*C287*AH281+E287*F287*AH282+H287*I287*AH283+K287*L287*AH284</f>
        <v>2.704596749799234E-7</v>
      </c>
      <c r="O287" s="1" t="s">
        <v>27</v>
      </c>
      <c r="P287" s="1">
        <f>2*H272</f>
        <v>3640</v>
      </c>
      <c r="Q287" s="1">
        <f>(K281*(1-P281)*(1-U281)*(1-Z281))+(P281*(1-K281)*(1-U281)*(1-Z281))+(U281*(1-K281)*(1-P281)*(1-Z281))+(Z281*(1-K281)*(1-P281)*(1-U281))</f>
        <v>0.19389466846386108</v>
      </c>
      <c r="R287" s="1">
        <f>Q287*(L$7*(J$5*K$5+L$5)+I$5)</f>
        <v>6833.8175900087836</v>
      </c>
    </row>
    <row r="288" spans="1:34" ht="24.75" x14ac:dyDescent="0.25">
      <c r="A288" s="62" t="s">
        <v>52</v>
      </c>
      <c r="B288" s="1">
        <f>AB281</f>
        <v>0.99999814564846767</v>
      </c>
      <c r="C288" s="59">
        <f>MAX(AC281-F281,0)</f>
        <v>0</v>
      </c>
      <c r="D288" s="62" t="s">
        <v>56</v>
      </c>
      <c r="E288" s="1">
        <f>AA281*AB282+AA282*AB281</f>
        <v>7.4967075343749566E-5</v>
      </c>
      <c r="F288" s="1">
        <f>MAX(AC282+1*L274-F282,0)</f>
        <v>17.666666666666657</v>
      </c>
      <c r="G288" s="62" t="s">
        <v>60</v>
      </c>
      <c r="H288" s="1">
        <f>AA281*AA282*AB283+AA282*AA283*AB281+AA281*AA283*AB282</f>
        <v>8.5151098162602656E-8</v>
      </c>
      <c r="I288" s="1">
        <f>AC283+2*L274-F283</f>
        <v>62.333333333333314</v>
      </c>
      <c r="J288" s="62" t="s">
        <v>59</v>
      </c>
      <c r="K288">
        <f>AB281*AA282*AA283*AA284+AB282*AA281*AA283*AA284*+AB283*AA281*AA282*AA284+AB284*AA281*AA282*AA283</f>
        <v>3.4167937694677346E-10</v>
      </c>
      <c r="L288" s="1">
        <f>AC284+3*L274-F284</f>
        <v>223.33333333333331</v>
      </c>
      <c r="M288" s="1">
        <f>B288*C288*AH281+E288*F288*AH282+H288*I288*AH283+K288*L288*AH284</f>
        <v>8.9190239419417089E-2</v>
      </c>
      <c r="O288" s="1" t="s">
        <v>28</v>
      </c>
      <c r="P288" s="1">
        <f>2*H273</f>
        <v>5440</v>
      </c>
      <c r="Q288" s="1">
        <f t="shared" ref="Q288:Q290" si="30">(K282*(1-P282)*(1-U282)*(1-Z282))+(P282*(1-K282)*(1-U282)*(1-Z282))+(U282*(1-K282)*(1-P282)*(1-Z282))+(Z282*(1-K282)*(1-P282)*(1-U282))</f>
        <v>0.37330502838363955</v>
      </c>
      <c r="R288" s="1">
        <f t="shared" ref="R288:R290" si="31">Q288*(L$7*(J$5*K$5+L$5)+I$5)</f>
        <v>13157.135725381377</v>
      </c>
    </row>
    <row r="289" spans="1:20" ht="24.75" x14ac:dyDescent="0.25">
      <c r="A289" s="1"/>
      <c r="B289" s="1"/>
      <c r="C289" s="1"/>
      <c r="D289" s="62" t="s">
        <v>52</v>
      </c>
      <c r="E289" s="1">
        <f>AB281*AB282</f>
        <v>0.99992503278907907</v>
      </c>
      <c r="F289" s="59">
        <f>MAX(AC282-F282,0)</f>
        <v>5.6666666666666572</v>
      </c>
      <c r="G289" s="62" t="s">
        <v>56</v>
      </c>
      <c r="H289" s="1">
        <f>AA281*AB282*AB283+AA282*AB281*AB283*+AA283*AB281*AB282</f>
        <v>1.9349258837986147E-6</v>
      </c>
      <c r="I289" s="1">
        <f>AC283+1*L274-F283</f>
        <v>50.333333333333314</v>
      </c>
      <c r="J289" s="62" t="s">
        <v>60</v>
      </c>
      <c r="K289" s="1">
        <f>AA281*AA282*AB283*AB284 + AA281*AA283*AB282*AB284 + AA281*AA284*AB282*AB283 + AA282*AA283*AB281*AB284 + AA282*AA284*AB281*AB283 + AA283*AA284*AB281*AB282</f>
        <v>5.0641166703425605E-6</v>
      </c>
      <c r="L289" s="1">
        <f>AC284+2*L274-F284</f>
        <v>211.33333333333331</v>
      </c>
      <c r="M289" s="1">
        <f>B289*C289*AH281+E289*F289*AH282+H289*I289*AH283+K289*L289*AH284</f>
        <v>379.68929103974585</v>
      </c>
      <c r="O289" s="1" t="s">
        <v>29</v>
      </c>
      <c r="P289" s="1">
        <f>2*(F274*(J272*K272+L272)+H274)</f>
        <v>28200</v>
      </c>
      <c r="Q289" s="1">
        <f t="shared" si="30"/>
        <v>0.47621178535867087</v>
      </c>
      <c r="R289" s="1">
        <f t="shared" si="31"/>
        <v>16784.084374966355</v>
      </c>
    </row>
    <row r="290" spans="1:20" ht="24.75" x14ac:dyDescent="0.25">
      <c r="A290" s="1"/>
      <c r="B290" s="1"/>
      <c r="C290" s="1"/>
      <c r="D290" s="1"/>
      <c r="E290" s="1"/>
      <c r="F290" s="1"/>
      <c r="G290" s="62" t="s">
        <v>52</v>
      </c>
      <c r="H290" s="1">
        <f>AB281*AB282*AB283</f>
        <v>0.99879107763689357</v>
      </c>
      <c r="I290" s="63">
        <f>AC283-F283</f>
        <v>38.333333333333314</v>
      </c>
      <c r="J290" s="62" t="s">
        <v>56</v>
      </c>
      <c r="K290" s="1">
        <f>AA281*AB282*AB283*AB284+AA282*AB281*AB283*AB284+AA283*AB281*AB282*AB284+AA284*AB281*AB282*AB283</f>
        <v>5.3179740578231209E-3</v>
      </c>
      <c r="L290" s="1">
        <f>AC284+1*L274-F284</f>
        <v>199.33333333333331</v>
      </c>
      <c r="M290" s="1">
        <f>B290*C290*AH281+E290*F290*AH282+H290*I290*AH283+K290*L290*AH284</f>
        <v>3296.7962411212529</v>
      </c>
      <c r="O290" s="1" t="s">
        <v>30</v>
      </c>
      <c r="P290" s="1">
        <f>2*H275</f>
        <v>8640</v>
      </c>
      <c r="Q290" s="1">
        <f t="shared" si="30"/>
        <v>0.45365220828336789</v>
      </c>
      <c r="R290" s="1">
        <f t="shared" si="31"/>
        <v>15988.972080947302</v>
      </c>
    </row>
    <row r="291" spans="1:20" ht="30" x14ac:dyDescent="0.25">
      <c r="I291" s="84"/>
      <c r="J291" s="62" t="s">
        <v>52</v>
      </c>
      <c r="K291" s="85">
        <f>AB281*AB282*AB283*AB284</f>
        <v>0.99467696147460727</v>
      </c>
      <c r="L291" s="1">
        <f>AC284+0*L274-F284</f>
        <v>187.33333333333331</v>
      </c>
      <c r="M291" s="1">
        <f>B291*C291*AH281+E291*F291*AH282+H291*I291*AH283+K291*L291*AH284</f>
        <v>7453.44603131639</v>
      </c>
      <c r="O291" s="64" t="s">
        <v>65</v>
      </c>
      <c r="P291" s="65">
        <f>SUM(P287:P290)</f>
        <v>45920</v>
      </c>
      <c r="Q291" s="96" t="s">
        <v>108</v>
      </c>
      <c r="R291" s="97">
        <f>SUM(R287:R290)</f>
        <v>52764.009771303819</v>
      </c>
    </row>
    <row r="292" spans="1:20" x14ac:dyDescent="0.25">
      <c r="L292" s="176" t="s">
        <v>63</v>
      </c>
      <c r="M292" s="177">
        <f>SUM(M287:M291)</f>
        <v>11130.020753987268</v>
      </c>
    </row>
    <row r="293" spans="1:20" x14ac:dyDescent="0.25">
      <c r="L293" s="176"/>
      <c r="M293" s="177"/>
    </row>
    <row r="294" spans="1:20" x14ac:dyDescent="0.25">
      <c r="A294" s="178" t="s">
        <v>90</v>
      </c>
      <c r="B294" s="178"/>
      <c r="C294" s="178"/>
      <c r="D294" s="178"/>
      <c r="E294" s="178"/>
      <c r="F294" s="178"/>
      <c r="G294" s="178"/>
      <c r="H294" s="178"/>
      <c r="I294" s="178"/>
      <c r="J294" s="178"/>
      <c r="K294" s="178"/>
      <c r="L294" s="178"/>
      <c r="M294" s="178"/>
      <c r="N294" s="178"/>
    </row>
    <row r="295" spans="1:20" ht="15.75" x14ac:dyDescent="0.25">
      <c r="A295" s="87" t="s">
        <v>77</v>
      </c>
      <c r="B295" s="62" t="s">
        <v>49</v>
      </c>
      <c r="C295" s="90" t="s">
        <v>78</v>
      </c>
      <c r="D295" s="62" t="s">
        <v>88</v>
      </c>
      <c r="E295" s="87" t="s">
        <v>76</v>
      </c>
      <c r="F295" s="62" t="s">
        <v>57</v>
      </c>
      <c r="G295" s="90" t="s">
        <v>102</v>
      </c>
      <c r="H295" s="62" t="s">
        <v>88</v>
      </c>
      <c r="I295" s="87" t="s">
        <v>86</v>
      </c>
      <c r="J295" s="62" t="s">
        <v>61</v>
      </c>
      <c r="K295" s="90" t="s">
        <v>103</v>
      </c>
      <c r="L295" s="62" t="s">
        <v>88</v>
      </c>
      <c r="M295" s="87" t="s">
        <v>75</v>
      </c>
      <c r="N295" s="62" t="s">
        <v>84</v>
      </c>
      <c r="O295" s="90" t="s">
        <v>87</v>
      </c>
      <c r="P295" s="62" t="s">
        <v>88</v>
      </c>
    </row>
    <row r="296" spans="1:20" ht="24.75" x14ac:dyDescent="0.25">
      <c r="A296" s="62" t="s">
        <v>51</v>
      </c>
      <c r="B296" s="86">
        <v>1.8543515323034395E-6</v>
      </c>
      <c r="C296" s="86">
        <f>AC281+1*L274</f>
        <v>67</v>
      </c>
      <c r="D296" s="86">
        <f>MAX(B296*1.5*((C296-F281)*500/2),0)</f>
        <v>0</v>
      </c>
      <c r="E296" s="62" t="s">
        <v>55</v>
      </c>
      <c r="F296" s="86">
        <v>1.3557719424618909E-10</v>
      </c>
      <c r="G296" s="86">
        <f>AC282+2*L274</f>
        <v>124.66666666666666</v>
      </c>
      <c r="H296" s="86">
        <f>F296*1.5*((G296-F282)*500/2+(G296-F284)*500)</f>
        <v>6.456863875974754E-6</v>
      </c>
      <c r="I296" s="62" t="s">
        <v>59</v>
      </c>
      <c r="J296" s="86">
        <v>1.5374998414180895E-13</v>
      </c>
      <c r="K296" s="86">
        <f>AC283+3*L274</f>
        <v>214.33333333333331</v>
      </c>
      <c r="L296" s="86">
        <f>J296*1.5*((K296-F283)*500/2+(K296-G296)*500)</f>
        <v>1.4625467241489575E-8</v>
      </c>
      <c r="M296" s="62" t="s">
        <v>83</v>
      </c>
      <c r="N296" s="86">
        <v>6.3331091844118399E-16</v>
      </c>
      <c r="O296" s="86">
        <f>AC284+4*L274</f>
        <v>311.33333333333331</v>
      </c>
      <c r="P296" s="86">
        <f>N296*1.5*((O296-K296)*500/2)</f>
        <v>2.3036684658298069E-11</v>
      </c>
    </row>
    <row r="297" spans="1:20" ht="24.75" x14ac:dyDescent="0.25">
      <c r="A297" s="62" t="s">
        <v>52</v>
      </c>
      <c r="B297" s="86">
        <v>0.99999814564846767</v>
      </c>
      <c r="C297" s="88">
        <f>AC281</f>
        <v>55</v>
      </c>
      <c r="D297" s="86">
        <f>MAX(B297*1.5*((C297-F281)*500/2),0)</f>
        <v>0</v>
      </c>
      <c r="E297" s="62" t="s">
        <v>56</v>
      </c>
      <c r="F297" s="86">
        <v>7.4967075343749566E-5</v>
      </c>
      <c r="G297" s="86">
        <f>AC282+1*L274</f>
        <v>112.66666666666666</v>
      </c>
      <c r="H297" s="86">
        <f>F297*1.5*((G297-F282)*500/2+(G297-F284)*500)</f>
        <v>2.5582514461054529</v>
      </c>
      <c r="I297" s="62" t="s">
        <v>60</v>
      </c>
      <c r="J297" s="86">
        <v>8.5151098162602656E-8</v>
      </c>
      <c r="K297" s="86">
        <f>AC283+2*L274</f>
        <v>202.33333333333331</v>
      </c>
      <c r="L297" s="86">
        <f>J297*1.5*((K297-F283)*500/2+(K297-G297)*500)</f>
        <v>7.7168182709858651E-3</v>
      </c>
      <c r="M297" s="62" t="s">
        <v>59</v>
      </c>
      <c r="N297" s="86">
        <v>3.4167937694677346E-10</v>
      </c>
      <c r="O297" s="86">
        <f>AC284+3*L274</f>
        <v>299.33333333333331</v>
      </c>
      <c r="P297" s="86">
        <f>N297*1.5*((O297-K297)*500/2)</f>
        <v>1.2428587336438884E-5</v>
      </c>
    </row>
    <row r="298" spans="1:20" x14ac:dyDescent="0.25">
      <c r="A298" s="86"/>
      <c r="B298" s="86"/>
      <c r="C298" s="89" t="s">
        <v>89</v>
      </c>
      <c r="D298" s="89">
        <f>SUM(D296:D297)</f>
        <v>0</v>
      </c>
      <c r="E298" s="62" t="s">
        <v>52</v>
      </c>
      <c r="F298" s="86">
        <v>0.99992503278907907</v>
      </c>
      <c r="G298" s="86">
        <f>AC282+0*L274</f>
        <v>100.66666666666666</v>
      </c>
      <c r="H298" s="86">
        <f>F298*1.5*((G298-F282)*500/2+(G298-F284)*500)</f>
        <v>20623.453801274743</v>
      </c>
      <c r="I298" s="62" t="s">
        <v>56</v>
      </c>
      <c r="J298" s="86">
        <v>1.9349258837986147E-6</v>
      </c>
      <c r="K298" s="86">
        <f>AC283+1*L274</f>
        <v>190.33333333333331</v>
      </c>
      <c r="L298" s="86">
        <f>J298*1.5*((K298-F283)*500/2+(K298-G298)*500)</f>
        <v>0.16664549174215568</v>
      </c>
      <c r="M298" s="62" t="s">
        <v>60</v>
      </c>
      <c r="N298" s="86">
        <v>5.0641166703425605E-6</v>
      </c>
      <c r="O298" s="86">
        <f>AC284+2*L274</f>
        <v>287.33333333333331</v>
      </c>
      <c r="P298" s="86">
        <f>N298*1.5*((O298-K298)*500/2)</f>
        <v>0.18420724388371063</v>
      </c>
    </row>
    <row r="299" spans="1:20" x14ac:dyDescent="0.25">
      <c r="A299" s="86"/>
      <c r="B299" s="86"/>
      <c r="C299" s="86"/>
      <c r="D299" s="86"/>
      <c r="E299" s="86"/>
      <c r="F299" s="86"/>
      <c r="G299" s="89" t="s">
        <v>79</v>
      </c>
      <c r="H299" s="89">
        <f>SUM(H296:H298)</f>
        <v>20626.012059177712</v>
      </c>
      <c r="I299" s="62" t="s">
        <v>52</v>
      </c>
      <c r="J299" s="86">
        <v>0.99879107763689357</v>
      </c>
      <c r="K299" s="86">
        <f>AC283+0*L274</f>
        <v>178.33333333333331</v>
      </c>
      <c r="L299" s="86">
        <f>J299*1.5*((K299-F283)*500/2+(K299-G298)*500)</f>
        <v>72537.202013379385</v>
      </c>
      <c r="M299" s="62" t="s">
        <v>56</v>
      </c>
      <c r="N299" s="86">
        <v>5.3179740578231209E-3</v>
      </c>
      <c r="O299" s="86">
        <f>AC284+1*L274</f>
        <v>275.33333333333331</v>
      </c>
      <c r="P299" s="86">
        <f>N299*1.5*((O299-K299)*500/2)</f>
        <v>193.44130635331604</v>
      </c>
    </row>
    <row r="300" spans="1:20" x14ac:dyDescent="0.25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9" t="s">
        <v>79</v>
      </c>
      <c r="L300" s="89">
        <f>SUM(L296:L299)</f>
        <v>72537.376375704029</v>
      </c>
      <c r="M300" s="62" t="s">
        <v>52</v>
      </c>
      <c r="N300" s="86">
        <v>0.99467696147460727</v>
      </c>
      <c r="O300" s="86">
        <f>AC284+0*L274</f>
        <v>263.33333333333331</v>
      </c>
      <c r="P300" s="86">
        <f>N300*1.5*((O300-K299)*500/2)</f>
        <v>31705.328147003107</v>
      </c>
      <c r="Q300" s="179" t="s">
        <v>80</v>
      </c>
      <c r="R300" s="179"/>
      <c r="S300" s="180">
        <f>D298+H299+L300+P301</f>
        <v>125062.34210791066</v>
      </c>
      <c r="T300" s="180"/>
    </row>
    <row r="301" spans="1:20" x14ac:dyDescent="0.25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9" t="s">
        <v>79</v>
      </c>
      <c r="P301" s="89">
        <f>SUM(P296:P300)</f>
        <v>31898.953673028918</v>
      </c>
      <c r="Q301" s="179"/>
      <c r="R301" s="179"/>
      <c r="S301" s="180"/>
      <c r="T301" s="180"/>
    </row>
    <row r="302" spans="1:20" x14ac:dyDescent="0.25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</row>
    <row r="303" spans="1:20" x14ac:dyDescent="0.25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</row>
    <row r="304" spans="1:20" x14ac:dyDescent="0.25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</row>
    <row r="305" spans="1:34" ht="24.75" thickBot="1" x14ac:dyDescent="0.3">
      <c r="O305" s="131" t="s">
        <v>81</v>
      </c>
      <c r="P305" s="131"/>
      <c r="Q305" s="131">
        <f>(R291+P291+M292+S300)/AC284</f>
        <v>891.93559227798141</v>
      </c>
      <c r="R305" s="131"/>
    </row>
    <row r="306" spans="1:34" x14ac:dyDescent="0.25">
      <c r="A306" s="181" t="s">
        <v>112</v>
      </c>
      <c r="B306" s="182"/>
    </row>
    <row r="307" spans="1:34" ht="15.75" thickBot="1" x14ac:dyDescent="0.3">
      <c r="A307" s="183"/>
      <c r="B307" s="184"/>
    </row>
    <row r="308" spans="1:34" ht="21" x14ac:dyDescent="0.35">
      <c r="A308" s="185" t="s">
        <v>14</v>
      </c>
      <c r="B308" s="185"/>
      <c r="C308" s="165"/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O308" s="166" t="s">
        <v>72</v>
      </c>
      <c r="P308" s="166"/>
      <c r="Q308" s="166"/>
      <c r="R308" s="166"/>
      <c r="S308" s="166"/>
      <c r="T308" s="166"/>
      <c r="U308" s="166"/>
      <c r="V308" s="166"/>
    </row>
    <row r="309" spans="1:34" ht="36" x14ac:dyDescent="0.25">
      <c r="A309" s="4" t="s">
        <v>15</v>
      </c>
      <c r="B309" s="4" t="s">
        <v>16</v>
      </c>
      <c r="C309" s="4" t="s">
        <v>31</v>
      </c>
      <c r="D309" s="6" t="s">
        <v>17</v>
      </c>
      <c r="E309" s="6" t="s">
        <v>18</v>
      </c>
      <c r="F309" s="6" t="s">
        <v>19</v>
      </c>
      <c r="G309" s="6" t="s">
        <v>20</v>
      </c>
      <c r="H309" s="6" t="s">
        <v>21</v>
      </c>
      <c r="I309" s="6" t="s">
        <v>22</v>
      </c>
      <c r="J309" s="6" t="s">
        <v>23</v>
      </c>
      <c r="K309" s="6" t="s">
        <v>24</v>
      </c>
      <c r="L309" s="6" t="s">
        <v>25</v>
      </c>
      <c r="M309" s="6" t="s">
        <v>26</v>
      </c>
      <c r="N309" s="8"/>
      <c r="O309" s="167" t="s">
        <v>32</v>
      </c>
      <c r="P309" s="167" t="s">
        <v>35</v>
      </c>
      <c r="Q309" s="167" t="s">
        <v>66</v>
      </c>
      <c r="R309" s="99" t="s">
        <v>67</v>
      </c>
      <c r="S309" s="99" t="s">
        <v>68</v>
      </c>
      <c r="T309" s="167" t="s">
        <v>69</v>
      </c>
      <c r="U309" s="71" t="s">
        <v>33</v>
      </c>
      <c r="V309" s="99" t="s">
        <v>70</v>
      </c>
    </row>
    <row r="310" spans="1:34" x14ac:dyDescent="0.25">
      <c r="A310" s="3" t="s">
        <v>27</v>
      </c>
      <c r="B310" s="3">
        <v>0</v>
      </c>
      <c r="C310" s="3">
        <v>0.3</v>
      </c>
      <c r="D310" s="3">
        <v>243</v>
      </c>
      <c r="E310" s="3">
        <v>1.73</v>
      </c>
      <c r="F310" s="3">
        <v>5</v>
      </c>
      <c r="G310" s="169">
        <v>12</v>
      </c>
      <c r="H310" s="3">
        <v>1820</v>
      </c>
      <c r="I310" s="169">
        <v>19645</v>
      </c>
      <c r="J310" s="3">
        <v>20</v>
      </c>
      <c r="K310" s="3">
        <v>40</v>
      </c>
      <c r="L310" s="3">
        <v>500</v>
      </c>
      <c r="M310" s="3">
        <v>1000</v>
      </c>
      <c r="O310" s="168"/>
      <c r="P310" s="168"/>
      <c r="Q310" s="168"/>
      <c r="R310" s="72" t="s">
        <v>71</v>
      </c>
      <c r="S310" s="72" t="s">
        <v>71</v>
      </c>
      <c r="T310" s="168"/>
      <c r="U310" s="73">
        <v>500</v>
      </c>
      <c r="V310" s="3">
        <v>1.5</v>
      </c>
    </row>
    <row r="311" spans="1:34" x14ac:dyDescent="0.25">
      <c r="A311" s="3" t="s">
        <v>28</v>
      </c>
      <c r="B311" s="3">
        <v>0</v>
      </c>
      <c r="C311" s="3">
        <v>0.3</v>
      </c>
      <c r="D311" s="3">
        <v>254</v>
      </c>
      <c r="E311" s="3">
        <v>1.88</v>
      </c>
      <c r="F311" s="3">
        <v>3</v>
      </c>
      <c r="G311" s="170"/>
      <c r="H311" s="3">
        <v>2720</v>
      </c>
      <c r="I311" s="170"/>
      <c r="J311" s="5"/>
      <c r="K311" s="5"/>
      <c r="L311" s="5"/>
      <c r="M311" s="5"/>
      <c r="O311" s="74">
        <v>1</v>
      </c>
      <c r="P311" s="74">
        <v>106</v>
      </c>
      <c r="Q311" s="74">
        <v>110</v>
      </c>
      <c r="R311" s="74">
        <v>6</v>
      </c>
      <c r="S311" s="74">
        <v>5</v>
      </c>
      <c r="T311" s="74">
        <f>R311*$U$5/60+S311</f>
        <v>55</v>
      </c>
      <c r="U311" s="75"/>
    </row>
    <row r="312" spans="1:34" x14ac:dyDescent="0.25">
      <c r="A312" s="3" t="s">
        <v>29</v>
      </c>
      <c r="B312" s="3">
        <v>0</v>
      </c>
      <c r="C312" s="3">
        <v>0.3</v>
      </c>
      <c r="D312" s="3">
        <v>143</v>
      </c>
      <c r="E312" s="3">
        <v>2.4300000000000002</v>
      </c>
      <c r="F312" s="3">
        <v>8</v>
      </c>
      <c r="G312" s="170"/>
      <c r="H312" s="3">
        <v>3700</v>
      </c>
      <c r="I312" s="170"/>
      <c r="J312" s="5"/>
      <c r="K312" s="140" t="s">
        <v>73</v>
      </c>
      <c r="L312" s="141">
        <v>12</v>
      </c>
      <c r="M312" s="140" t="s">
        <v>74</v>
      </c>
      <c r="N312" s="141">
        <v>19645</v>
      </c>
      <c r="O312" s="74">
        <v>2</v>
      </c>
      <c r="P312" s="74">
        <v>76</v>
      </c>
      <c r="Q312" s="74">
        <v>40</v>
      </c>
      <c r="R312" s="74">
        <v>9</v>
      </c>
      <c r="S312" s="74">
        <v>2</v>
      </c>
      <c r="T312" s="74">
        <f t="shared" ref="T312:T314" si="32">R312*$U$5/60+S312</f>
        <v>77</v>
      </c>
      <c r="U312" s="75"/>
    </row>
    <row r="313" spans="1:34" x14ac:dyDescent="0.25">
      <c r="A313" s="3" t="s">
        <v>30</v>
      </c>
      <c r="B313" s="3">
        <v>0</v>
      </c>
      <c r="C313" s="3">
        <v>0.3</v>
      </c>
      <c r="D313" s="3">
        <v>449</v>
      </c>
      <c r="E313" s="3">
        <v>2.5299999999999998</v>
      </c>
      <c r="F313" s="3">
        <v>4</v>
      </c>
      <c r="G313" s="171"/>
      <c r="H313" s="3">
        <v>4320</v>
      </c>
      <c r="I313" s="171"/>
      <c r="J313" s="5"/>
      <c r="K313" s="140"/>
      <c r="L313" s="141"/>
      <c r="M313" s="140"/>
      <c r="N313" s="141"/>
      <c r="O313" s="74">
        <v>3</v>
      </c>
      <c r="P313" s="74">
        <v>95</v>
      </c>
      <c r="Q313" s="74">
        <v>67</v>
      </c>
      <c r="R313" s="74">
        <v>5</v>
      </c>
      <c r="S313" s="74">
        <v>4</v>
      </c>
      <c r="T313" s="74">
        <f t="shared" si="32"/>
        <v>45.666666666666664</v>
      </c>
      <c r="U313" s="75"/>
    </row>
    <row r="314" spans="1:34" ht="15.75" thickBo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O314" s="74">
        <v>4</v>
      </c>
      <c r="P314" s="74">
        <v>140</v>
      </c>
      <c r="Q314" s="94">
        <v>85</v>
      </c>
      <c r="R314" s="94">
        <v>8</v>
      </c>
      <c r="S314" s="94">
        <v>3</v>
      </c>
      <c r="T314" s="74">
        <f t="shared" si="32"/>
        <v>69.666666666666671</v>
      </c>
    </row>
    <row r="315" spans="1:34" ht="15" customHeight="1" x14ac:dyDescent="0.25">
      <c r="A315" s="142" t="s">
        <v>100</v>
      </c>
      <c r="B315" s="144" t="s">
        <v>129</v>
      </c>
      <c r="C315" s="144"/>
      <c r="D315" s="144"/>
      <c r="E315" s="144"/>
      <c r="F315" s="20" t="s">
        <v>27</v>
      </c>
      <c r="G315" s="20" t="s">
        <v>28</v>
      </c>
      <c r="H315" s="20" t="s">
        <v>29</v>
      </c>
      <c r="I315" s="20" t="s">
        <v>30</v>
      </c>
    </row>
    <row r="316" spans="1:34" ht="15.75" customHeight="1" thickBot="1" x14ac:dyDescent="0.3">
      <c r="A316" s="143"/>
      <c r="B316" s="145"/>
      <c r="C316" s="145"/>
      <c r="D316" s="145"/>
      <c r="E316" s="145"/>
      <c r="F316" s="20">
        <v>91</v>
      </c>
      <c r="G316" s="26">
        <v>91</v>
      </c>
      <c r="H316" s="26">
        <v>91</v>
      </c>
      <c r="I316" s="26">
        <v>91</v>
      </c>
    </row>
    <row r="317" spans="1:34" ht="15.75" customHeight="1" thickBot="1" x14ac:dyDescent="0.3">
      <c r="A317" s="143"/>
      <c r="B317" s="145"/>
      <c r="C317" s="145"/>
      <c r="D317" s="145"/>
      <c r="E317" s="145"/>
      <c r="F317" s="7"/>
      <c r="G317" s="146" t="s">
        <v>27</v>
      </c>
      <c r="H317" s="147"/>
      <c r="I317" s="147"/>
      <c r="J317" s="147"/>
      <c r="K317" s="148"/>
      <c r="L317" s="149" t="s">
        <v>28</v>
      </c>
      <c r="M317" s="150"/>
      <c r="N317" s="150"/>
      <c r="O317" s="150"/>
      <c r="P317" s="151"/>
      <c r="Q317" s="152" t="s">
        <v>29</v>
      </c>
      <c r="R317" s="153"/>
      <c r="S317" s="153"/>
      <c r="T317" s="153"/>
      <c r="U317" s="154"/>
      <c r="V317" s="155" t="s">
        <v>30</v>
      </c>
      <c r="W317" s="156"/>
      <c r="X317" s="156"/>
      <c r="Y317" s="156"/>
      <c r="Z317" s="157"/>
      <c r="AA317" s="158" t="s">
        <v>42</v>
      </c>
      <c r="AB317" s="159"/>
      <c r="AC317" s="160" t="s">
        <v>44</v>
      </c>
      <c r="AD317" s="162" t="s">
        <v>47</v>
      </c>
      <c r="AE317" s="163"/>
      <c r="AF317" s="163"/>
      <c r="AG317" s="164"/>
      <c r="AH317" s="138" t="s">
        <v>62</v>
      </c>
    </row>
    <row r="318" spans="1:34" ht="36.75" x14ac:dyDescent="0.25">
      <c r="A318" s="21" t="s">
        <v>32</v>
      </c>
      <c r="B318" s="22" t="s">
        <v>37</v>
      </c>
      <c r="C318" s="23" t="s">
        <v>33</v>
      </c>
      <c r="D318" s="22" t="s">
        <v>38</v>
      </c>
      <c r="E318" s="22" t="s">
        <v>34</v>
      </c>
      <c r="F318" s="25" t="s">
        <v>35</v>
      </c>
      <c r="G318" s="27" t="s">
        <v>39</v>
      </c>
      <c r="H318" s="10" t="s">
        <v>40</v>
      </c>
      <c r="I318" s="10" t="s">
        <v>45</v>
      </c>
      <c r="J318" s="10" t="s">
        <v>46</v>
      </c>
      <c r="K318" s="28" t="s">
        <v>41</v>
      </c>
      <c r="L318" s="30" t="s">
        <v>39</v>
      </c>
      <c r="M318" s="13" t="s">
        <v>40</v>
      </c>
      <c r="N318" s="13" t="s">
        <v>45</v>
      </c>
      <c r="O318" s="13" t="s">
        <v>46</v>
      </c>
      <c r="P318" s="31" t="s">
        <v>41</v>
      </c>
      <c r="Q318" s="33" t="s">
        <v>39</v>
      </c>
      <c r="R318" s="12" t="s">
        <v>40</v>
      </c>
      <c r="S318" s="12" t="s">
        <v>45</v>
      </c>
      <c r="T318" s="12" t="s">
        <v>46</v>
      </c>
      <c r="U318" s="34" t="s">
        <v>41</v>
      </c>
      <c r="V318" s="36" t="s">
        <v>39</v>
      </c>
      <c r="W318" s="11" t="s">
        <v>40</v>
      </c>
      <c r="X318" s="11" t="s">
        <v>45</v>
      </c>
      <c r="Y318" s="11" t="s">
        <v>46</v>
      </c>
      <c r="Z318" s="37" t="s">
        <v>41</v>
      </c>
      <c r="AA318" s="39" t="s">
        <v>41</v>
      </c>
      <c r="AB318" s="40" t="s">
        <v>43</v>
      </c>
      <c r="AC318" s="161"/>
      <c r="AD318" s="43" t="s">
        <v>27</v>
      </c>
      <c r="AE318" s="1" t="s">
        <v>28</v>
      </c>
      <c r="AF318" s="1" t="s">
        <v>29</v>
      </c>
      <c r="AG318" s="1" t="s">
        <v>30</v>
      </c>
      <c r="AH318" s="139"/>
    </row>
    <row r="319" spans="1:34" x14ac:dyDescent="0.25">
      <c r="A319" s="24">
        <v>1</v>
      </c>
      <c r="B319" s="9">
        <v>6</v>
      </c>
      <c r="C319" s="9">
        <v>500</v>
      </c>
      <c r="D319" s="9">
        <v>5</v>
      </c>
      <c r="E319" s="48">
        <f>B319*C319/60+D319</f>
        <v>55</v>
      </c>
      <c r="F319" s="100">
        <v>106</v>
      </c>
      <c r="G319" s="49">
        <f>B$5*(1-AD319*C$5)</f>
        <v>0</v>
      </c>
      <c r="H319" s="50">
        <f>G319+E319</f>
        <v>55</v>
      </c>
      <c r="I319" s="15">
        <f>(H319/D$5)^E$5</f>
        <v>7.6511831764011648E-2</v>
      </c>
      <c r="J319" s="15">
        <f>(G319/D$5)^E$5</f>
        <v>0</v>
      </c>
      <c r="K319" s="29">
        <f>1-EXP(J319-I319)</f>
        <v>7.3658046035411151E-2</v>
      </c>
      <c r="L319" s="51">
        <f>B$6*(1-AE319*C$6)</f>
        <v>0</v>
      </c>
      <c r="M319" s="52">
        <f>L319+E319</f>
        <v>55</v>
      </c>
      <c r="N319" s="17">
        <f>(M319/D$6)^E$6</f>
        <v>5.633709759436846E-2</v>
      </c>
      <c r="O319" s="17">
        <f>(L319/D$6)^E$6</f>
        <v>0</v>
      </c>
      <c r="P319" s="32">
        <f>1-EXP(O319-N319)</f>
        <v>5.4779549360660096E-2</v>
      </c>
      <c r="Q319" s="53">
        <f>B$7*(1-AF319*C$7)</f>
        <v>0</v>
      </c>
      <c r="R319" s="54">
        <f>Q319+E319</f>
        <v>55</v>
      </c>
      <c r="S319" s="16">
        <f>(R319/D$7)^E$7</f>
        <v>9.8087748172662498E-2</v>
      </c>
      <c r="T319" s="16">
        <f>(Q319/D$7)^E$7</f>
        <v>0</v>
      </c>
      <c r="U319" s="35">
        <f>1-EXP(T319-S319)</f>
        <v>9.3430649540250821E-2</v>
      </c>
      <c r="V319" s="55">
        <f>B$8*(1-AG319*C$8)</f>
        <v>0</v>
      </c>
      <c r="W319" s="56">
        <f>V319+E319</f>
        <v>55</v>
      </c>
      <c r="X319" s="18">
        <f>(W319/D$8)^E$8</f>
        <v>4.9309927237744132E-3</v>
      </c>
      <c r="Y319" s="18">
        <f>(V319/D$8)^E$8</f>
        <v>0</v>
      </c>
      <c r="Z319" s="38">
        <f>1-EXP(Y319-X319)</f>
        <v>4.9188553371368737E-3</v>
      </c>
      <c r="AA319" s="41">
        <f>K319*P319*U319*Z319</f>
        <v>1.8543515323034395E-6</v>
      </c>
      <c r="AB319" s="42">
        <f>1-AA319</f>
        <v>0.99999814564846767</v>
      </c>
      <c r="AC319" s="47">
        <f>(AD319*F$5+AE319*F$6+AF319*F$7+AG319*F$8)+E319</f>
        <v>55</v>
      </c>
      <c r="AD319" s="43">
        <v>0</v>
      </c>
      <c r="AE319" s="1">
        <v>0</v>
      </c>
      <c r="AF319" s="1">
        <v>0</v>
      </c>
      <c r="AG319" s="1">
        <v>0</v>
      </c>
      <c r="AH319" s="74">
        <v>110</v>
      </c>
    </row>
    <row r="320" spans="1:34" x14ac:dyDescent="0.25">
      <c r="A320" s="76">
        <v>2</v>
      </c>
      <c r="B320" s="58">
        <v>9</v>
      </c>
      <c r="C320" s="9">
        <v>500</v>
      </c>
      <c r="D320" s="58">
        <v>2</v>
      </c>
      <c r="E320" s="48">
        <f t="shared" ref="E320:E322" si="33">B320*C320/60+D320</f>
        <v>77</v>
      </c>
      <c r="F320" s="100">
        <v>76</v>
      </c>
      <c r="G320" s="49">
        <f>H319*(1-AD320*C$5)</f>
        <v>55</v>
      </c>
      <c r="H320" s="50">
        <f>G320+E320</f>
        <v>132</v>
      </c>
      <c r="I320" s="15">
        <f>(H320/D$5)^E$5</f>
        <v>0.34793173894508389</v>
      </c>
      <c r="J320" s="15">
        <f>(G320/D$5)^E$5</f>
        <v>7.6511831764011648E-2</v>
      </c>
      <c r="K320" s="29">
        <f>1-EXP(J320-I320)</f>
        <v>0.23770366451454039</v>
      </c>
      <c r="L320" s="51">
        <f>M319*(1-AE320*C$6)</f>
        <v>55</v>
      </c>
      <c r="M320" s="52">
        <f>L320+E320</f>
        <v>132</v>
      </c>
      <c r="N320" s="17">
        <f>(M320/D$6)^E$6</f>
        <v>0.29214038913862722</v>
      </c>
      <c r="O320" s="17">
        <f>(L320/D$6)^E$6</f>
        <v>5.633709759436846E-2</v>
      </c>
      <c r="P320" s="32">
        <f>1-EXP(O320-N320)</f>
        <v>0.21006395424947955</v>
      </c>
      <c r="Q320" s="53">
        <f>R319*(1-AF320*C$7)</f>
        <v>55</v>
      </c>
      <c r="R320" s="54">
        <f>Q320+E320</f>
        <v>132</v>
      </c>
      <c r="S320" s="16">
        <f>(R320/D$7)^E$7</f>
        <v>0.82324306668270808</v>
      </c>
      <c r="T320" s="16">
        <f>(Q320/D$7)^E$7</f>
        <v>9.8087748172662498E-2</v>
      </c>
      <c r="U320" s="35">
        <f>1-EXP(T320-S320)</f>
        <v>0.5157506497734845</v>
      </c>
      <c r="V320" s="55">
        <f>W319*(1-AG320*C$8)</f>
        <v>55</v>
      </c>
      <c r="W320" s="56">
        <f>V320+E320</f>
        <v>132</v>
      </c>
      <c r="X320" s="18">
        <f>(W320/D$8)^E$8</f>
        <v>4.5171946303006208E-2</v>
      </c>
      <c r="Y320" s="18">
        <f>(V320/D$8)^E$8</f>
        <v>4.9309927237744132E-3</v>
      </c>
      <c r="Z320" s="38">
        <f>1-EXP(Y320-X320)</f>
        <v>3.9442038613110686E-2</v>
      </c>
      <c r="AA320" s="41">
        <f>K320*P320*U320*Z320</f>
        <v>1.0157493454002661E-3</v>
      </c>
      <c r="AB320" s="42">
        <f>1-AA320</f>
        <v>0.99898425065459973</v>
      </c>
      <c r="AC320" s="47">
        <f>AF320*F$7+E320+AC319</f>
        <v>132</v>
      </c>
      <c r="AD320" s="43">
        <v>0</v>
      </c>
      <c r="AE320" s="1">
        <v>0</v>
      </c>
      <c r="AF320" s="1">
        <v>0</v>
      </c>
      <c r="AG320" s="1">
        <v>0</v>
      </c>
      <c r="AH320" s="74">
        <v>40</v>
      </c>
    </row>
    <row r="321" spans="1:34" x14ac:dyDescent="0.25">
      <c r="A321" s="24">
        <v>3</v>
      </c>
      <c r="B321" s="9">
        <v>5</v>
      </c>
      <c r="C321" s="58">
        <v>500</v>
      </c>
      <c r="D321" s="58">
        <v>4</v>
      </c>
      <c r="E321" s="48">
        <f t="shared" si="33"/>
        <v>45.666666666666664</v>
      </c>
      <c r="F321" s="100">
        <v>95</v>
      </c>
      <c r="G321" s="68">
        <f>H320*(1-AD321*C$5)</f>
        <v>92.399999999999991</v>
      </c>
      <c r="H321" s="69">
        <f>G321+E321</f>
        <v>138.06666666666666</v>
      </c>
      <c r="I321" s="70">
        <f>(H321/D$5)^E$5</f>
        <v>0.37605800658011651</v>
      </c>
      <c r="J321" s="70">
        <f>(G321/D$5)^E$5</f>
        <v>0.18772134485664987</v>
      </c>
      <c r="K321" s="29">
        <f>1-EXP(J321-I321)</f>
        <v>0.17166420866995746</v>
      </c>
      <c r="L321" s="51">
        <f>M320*(1-AE321*C$6)</f>
        <v>92.399999999999991</v>
      </c>
      <c r="M321" s="52">
        <f>L321+E321</f>
        <v>138.06666666666666</v>
      </c>
      <c r="N321" s="17">
        <f>(M321/D$6)^E$6</f>
        <v>0.31789202412323359</v>
      </c>
      <c r="O321" s="17">
        <f>(L321/D$6)^E$6</f>
        <v>0.14940871089337018</v>
      </c>
      <c r="P321" s="32">
        <f>1-EXP(O321-N321)</f>
        <v>0.15505463728965418</v>
      </c>
      <c r="Q321" s="53">
        <f>R320*(1-AF321*C$7)</f>
        <v>92.399999999999991</v>
      </c>
      <c r="R321" s="54">
        <f>Q321+E321</f>
        <v>138.06666666666666</v>
      </c>
      <c r="S321" s="16">
        <f>(R321/D$7)^E$7</f>
        <v>0.91822541626396692</v>
      </c>
      <c r="T321" s="16">
        <f>(Q321/D$7)^E$7</f>
        <v>0.34603204471909926</v>
      </c>
      <c r="U321" s="35">
        <f>1-EXP(T321-S321)</f>
        <v>0.43571360936248182</v>
      </c>
      <c r="V321" s="55">
        <f>W320*(1-AG321*C$8)</f>
        <v>92.399999999999991</v>
      </c>
      <c r="W321" s="56">
        <f>V321+E321</f>
        <v>138.06666666666666</v>
      </c>
      <c r="X321" s="18">
        <f>(W321/D$8)^E$8</f>
        <v>5.0610604201500146E-2</v>
      </c>
      <c r="Y321" s="18">
        <f>(V321/D$8)^E$8</f>
        <v>1.832174542453625E-2</v>
      </c>
      <c r="Z321" s="38">
        <f>1-EXP(Y321-X321)</f>
        <v>3.1773139145672813E-2</v>
      </c>
      <c r="AA321" s="41">
        <f>K321*P321*U321*Z321</f>
        <v>3.6849004970267423E-4</v>
      </c>
      <c r="AB321" s="42">
        <f>1-AA321</f>
        <v>0.99963150995029737</v>
      </c>
      <c r="AC321" s="47">
        <f>(AF321*F$7)+E321+AC320</f>
        <v>185.66666666666666</v>
      </c>
      <c r="AD321" s="77">
        <v>1</v>
      </c>
      <c r="AE321" s="78">
        <v>1</v>
      </c>
      <c r="AF321" s="78">
        <v>1</v>
      </c>
      <c r="AG321" s="78">
        <v>1</v>
      </c>
      <c r="AH321" s="74">
        <v>67</v>
      </c>
    </row>
    <row r="322" spans="1:34" ht="15.75" thickBot="1" x14ac:dyDescent="0.3">
      <c r="A322" s="57">
        <v>4</v>
      </c>
      <c r="B322" s="58">
        <v>8</v>
      </c>
      <c r="C322" s="58">
        <v>500</v>
      </c>
      <c r="D322" s="9">
        <v>3</v>
      </c>
      <c r="E322" s="48">
        <f t="shared" si="33"/>
        <v>69.666666666666671</v>
      </c>
      <c r="F322" s="100">
        <v>140</v>
      </c>
      <c r="G322" s="68">
        <f>H321*(1-AD322*C$5)</f>
        <v>96.646666666666661</v>
      </c>
      <c r="H322" s="69">
        <f>G322+E322</f>
        <v>166.31333333333333</v>
      </c>
      <c r="I322" s="70">
        <f>(H322/D$5)^E$5</f>
        <v>0.51892545440479432</v>
      </c>
      <c r="J322" s="70">
        <f>(G322/D$5)^E$5</f>
        <v>0.20289645018695066</v>
      </c>
      <c r="K322" s="29">
        <f>1-EXP(J322-I322)</f>
        <v>0.27096169532483416</v>
      </c>
      <c r="L322" s="51">
        <f>M321*(1-AE322*C$6)</f>
        <v>96.646666666666661</v>
      </c>
      <c r="M322" s="52">
        <f>L322+E322</f>
        <v>166.31333333333333</v>
      </c>
      <c r="N322" s="17">
        <f>(M322/D$6)^E$6</f>
        <v>0.45108200336097515</v>
      </c>
      <c r="O322" s="17">
        <f>(L322/D$6)^E$6</f>
        <v>0.16257881242500377</v>
      </c>
      <c r="P322" s="32">
        <f>1-EXP(O322-N322)</f>
        <v>0.25061558609399515</v>
      </c>
      <c r="Q322" s="53">
        <f>R321*(1-AF322*C$7)</f>
        <v>96.646666666666661</v>
      </c>
      <c r="R322" s="54">
        <f>Q322+E322</f>
        <v>166.31333333333333</v>
      </c>
      <c r="S322" s="16">
        <f>(R322/D$7)^E$7</f>
        <v>1.443398348879422</v>
      </c>
      <c r="T322" s="16">
        <f>(Q322/D$7)^E$7</f>
        <v>0.3859557780221517</v>
      </c>
      <c r="U322" s="35">
        <f>1-EXP(T322-S322)</f>
        <v>0.65265701953009181</v>
      </c>
      <c r="V322" s="55">
        <f>W321*(1-AG322*C$8)</f>
        <v>96.646666666666661</v>
      </c>
      <c r="W322" s="56">
        <f>V322+E322</f>
        <v>166.31333333333333</v>
      </c>
      <c r="X322" s="18">
        <f>(W322/D$8)^E$8</f>
        <v>8.1051720711888042E-2</v>
      </c>
      <c r="Y322" s="18">
        <f>(V322/D$8)^E$8</f>
        <v>2.0527665550247501E-2</v>
      </c>
      <c r="Z322" s="38">
        <f>1-EXP(Y322-X322)</f>
        <v>5.8728873683021265E-2</v>
      </c>
      <c r="AA322" s="41">
        <f>K322*P322*U322*Z322</f>
        <v>2.6028711093351907E-3</v>
      </c>
      <c r="AB322" s="42">
        <f>1-AA322</f>
        <v>0.99739712889066479</v>
      </c>
      <c r="AC322" s="47">
        <f>(AF322*F$7)+E322+AC321</f>
        <v>263.33333333333331</v>
      </c>
      <c r="AD322" s="80">
        <v>1</v>
      </c>
      <c r="AE322" s="45">
        <v>1</v>
      </c>
      <c r="AF322" s="81">
        <v>1</v>
      </c>
      <c r="AG322" s="45">
        <v>1</v>
      </c>
      <c r="AH322" s="94">
        <v>85</v>
      </c>
    </row>
    <row r="323" spans="1:34" ht="18.75" x14ac:dyDescent="0.3">
      <c r="A323" s="132" t="s">
        <v>114</v>
      </c>
      <c r="B323" s="132"/>
      <c r="C323" s="132"/>
      <c r="D323" s="132"/>
      <c r="E323" s="132"/>
      <c r="F323" s="132"/>
      <c r="G323" s="132"/>
      <c r="H323" s="132"/>
      <c r="I323" s="132"/>
      <c r="J323" s="132"/>
      <c r="AG323" s="46"/>
    </row>
    <row r="324" spans="1:34" ht="15.75" x14ac:dyDescent="0.25">
      <c r="A324" s="19" t="s">
        <v>58</v>
      </c>
      <c r="B324" s="60" t="s">
        <v>49</v>
      </c>
      <c r="C324" s="61" t="s">
        <v>50</v>
      </c>
      <c r="D324" s="19" t="s">
        <v>48</v>
      </c>
      <c r="E324" s="60" t="s">
        <v>57</v>
      </c>
      <c r="F324" s="61" t="s">
        <v>50</v>
      </c>
      <c r="G324" s="19" t="s">
        <v>54</v>
      </c>
      <c r="H324" s="60" t="s">
        <v>61</v>
      </c>
      <c r="I324" s="61" t="s">
        <v>50</v>
      </c>
      <c r="J324" s="19" t="s">
        <v>82</v>
      </c>
      <c r="K324" s="83" t="s">
        <v>84</v>
      </c>
      <c r="L324" s="61" t="s">
        <v>50</v>
      </c>
      <c r="M324" s="61" t="s">
        <v>85</v>
      </c>
      <c r="O324" s="174" t="s">
        <v>64</v>
      </c>
      <c r="P324" s="174"/>
      <c r="Q324" s="175" t="s">
        <v>109</v>
      </c>
      <c r="R324" s="175"/>
    </row>
    <row r="325" spans="1:34" ht="24.75" x14ac:dyDescent="0.25">
      <c r="A325" s="61" t="s">
        <v>51</v>
      </c>
      <c r="B325" s="1">
        <f>AA319</f>
        <v>1.8543515323034395E-6</v>
      </c>
      <c r="C325" s="59">
        <f>MAX(AC319+1*L312-F319,0)</f>
        <v>0</v>
      </c>
      <c r="D325" s="62" t="s">
        <v>55</v>
      </c>
      <c r="E325" s="1">
        <f>AA319*AA320</f>
        <v>1.8835563550791993E-9</v>
      </c>
      <c r="F325" s="1">
        <f>MAX(AC320+2*L312-F320,0)</f>
        <v>80</v>
      </c>
      <c r="G325" s="62" t="s">
        <v>59</v>
      </c>
      <c r="H325" s="1">
        <f>AA319*AA320*AA321</f>
        <v>6.940717749009221E-13</v>
      </c>
      <c r="I325" s="1">
        <f>AC321+3*L312-F321</f>
        <v>126.66666666666666</v>
      </c>
      <c r="J325" s="62" t="s">
        <v>83</v>
      </c>
      <c r="K325" s="1">
        <f>AA319*AA320*AA321*AA322</f>
        <v>1.8065793706946078E-15</v>
      </c>
      <c r="L325" s="1">
        <f>AC322+4*L312-F322</f>
        <v>171.33333333333331</v>
      </c>
      <c r="M325" s="1">
        <f>B325*C325*AH319+E325*F325*AH320+H325*I325*AH321+K325*L325*AH322</f>
        <v>6.033297001867332E-6</v>
      </c>
      <c r="O325" s="1" t="s">
        <v>27</v>
      </c>
      <c r="P325" s="1">
        <f>2*H310</f>
        <v>3640</v>
      </c>
      <c r="Q325" s="1">
        <f>(K319*(1-P319)*(1-U319)*(1-Z319))+(P319*(1-K319)*(1-U319)*(1-Z319))+(U319*(1-K319)*(1-P319)*(1-Z319))+(Z319*(1-K319)*(1-P319)*(1-U319))</f>
        <v>0.19389466846386108</v>
      </c>
      <c r="R325" s="1">
        <f>Q325*(L$7*(J$5*K$5+L$5)+I$5)</f>
        <v>6833.8175900087836</v>
      </c>
    </row>
    <row r="326" spans="1:34" ht="24.75" x14ac:dyDescent="0.25">
      <c r="A326" s="62" t="s">
        <v>52</v>
      </c>
      <c r="B326" s="1">
        <f>AB319</f>
        <v>0.99999814564846767</v>
      </c>
      <c r="C326" s="59">
        <f>MAX(AC319-F319,0)</f>
        <v>0</v>
      </c>
      <c r="D326" s="62" t="s">
        <v>56</v>
      </c>
      <c r="E326" s="1">
        <f>AA319*AB320+AA320*AB319</f>
        <v>1.0175999298198595E-3</v>
      </c>
      <c r="F326" s="1">
        <f>MAX(AC320+1*L312-F320,0)</f>
        <v>68</v>
      </c>
      <c r="G326" s="62" t="s">
        <v>60</v>
      </c>
      <c r="H326" s="1">
        <f>AA319*AA320*AB321+AA320*AA321*AB319+AA319*AA321*AB320</f>
        <v>3.7685831100006217E-7</v>
      </c>
      <c r="I326" s="1">
        <f>AC321+2*L312-F321</f>
        <v>114.66666666666666</v>
      </c>
      <c r="J326" s="62" t="s">
        <v>59</v>
      </c>
      <c r="K326">
        <f>AB319*AA320*AA321*AA322+AB320*AA319*AA321*AA322*+AB321*AA319*AA320*AA322+AB322*AA319*AA320*AA321</f>
        <v>9.7492826586219216E-10</v>
      </c>
      <c r="L326" s="1">
        <f>AC322+3*L312-F322</f>
        <v>159.33333333333331</v>
      </c>
      <c r="M326" s="1">
        <f>B326*C326*AH319+E326*F326*AH320+H326*I326*AH321+K326*L326*AH322</f>
        <v>2.7707802896724751</v>
      </c>
      <c r="O326" s="1" t="s">
        <v>28</v>
      </c>
      <c r="P326" s="1">
        <f>2*H311</f>
        <v>5440</v>
      </c>
      <c r="Q326" s="1">
        <f t="shared" ref="Q326:Q328" si="34">(K320*(1-P320)*(1-U320)*(1-Z320))+(P320*(1-K320)*(1-U320)*(1-Z320))+(U320*(1-K320)*(1-P320)*(1-Z320))+(Z320*(1-K320)*(1-P320)*(1-U320))</f>
        <v>0.47164531059336612</v>
      </c>
      <c r="R326" s="1">
        <f t="shared" ref="R326:R328" si="35">Q326*(L$7*(J$5*K$5+L$5)+I$5)</f>
        <v>16623.138971863187</v>
      </c>
    </row>
    <row r="327" spans="1:34" ht="24.75" x14ac:dyDescent="0.25">
      <c r="A327" s="1"/>
      <c r="B327" s="1"/>
      <c r="C327" s="1"/>
      <c r="D327" s="62" t="s">
        <v>52</v>
      </c>
      <c r="E327" s="1">
        <f>AB319*AB320</f>
        <v>0.99898239818662371</v>
      </c>
      <c r="F327" s="59">
        <f>MAX(AC320-F320,0)</f>
        <v>56</v>
      </c>
      <c r="G327" s="62" t="s">
        <v>56</v>
      </c>
      <c r="H327" s="1">
        <f>AA319*AB320*AB321+AA320*AB319*AB321*+AA321*AB319*AB320</f>
        <v>2.2255595287331266E-6</v>
      </c>
      <c r="I327" s="1">
        <f>AC321+1*L312-F321</f>
        <v>102.66666666666666</v>
      </c>
      <c r="J327" s="62" t="s">
        <v>60</v>
      </c>
      <c r="K327" s="1">
        <f>AA319*AA320*AB321*AB322 + AA319*AA321*AB320*AB322 + AA319*AA322*AB320*AB321 + AA320*AA321*AB319*AB322 + AA320*AA322*AB319*AB321 + AA321*AA322*AB319*AB320</f>
        <v>3.9817389326973272E-6</v>
      </c>
      <c r="L327" s="1">
        <f>AC322+2*L312-F322</f>
        <v>147.33333333333331</v>
      </c>
      <c r="M327" s="1">
        <f>B327*C327*AH319+E327*F327*AH320+H327*I327*AH321+K327*L327*AH322</f>
        <v>2237.7857454640825</v>
      </c>
      <c r="O327" s="1" t="s">
        <v>29</v>
      </c>
      <c r="P327" s="1">
        <f>2*(F312*(J310*K310+L310)+H312)</f>
        <v>28200</v>
      </c>
      <c r="Q327" s="1">
        <f t="shared" si="34"/>
        <v>0.45723455671337027</v>
      </c>
      <c r="R327" s="1">
        <f t="shared" si="35"/>
        <v>16115.231951362735</v>
      </c>
    </row>
    <row r="328" spans="1:34" ht="24.75" x14ac:dyDescent="0.25">
      <c r="A328" s="1"/>
      <c r="B328" s="1"/>
      <c r="C328" s="1"/>
      <c r="D328" s="1"/>
      <c r="E328" s="1"/>
      <c r="F328" s="1"/>
      <c r="G328" s="62" t="s">
        <v>52</v>
      </c>
      <c r="H328" s="1">
        <f>AB319*AB320*AB321</f>
        <v>0.99861428311306388</v>
      </c>
      <c r="I328" s="63">
        <f>AC321-F321</f>
        <v>90.666666666666657</v>
      </c>
      <c r="J328" s="62" t="s">
        <v>56</v>
      </c>
      <c r="K328" s="1">
        <f>AA319*AB320*AB321*AB322+AA320*AB319*AB321*AB322+AA321*AB319*AB320*AB322+AA322*AB319*AB320*AB321</f>
        <v>3.9809984332801873E-3</v>
      </c>
      <c r="L328" s="1">
        <f>AC322+1*L312-F322</f>
        <v>135.33333333333331</v>
      </c>
      <c r="M328" s="1">
        <f>B328*C328*AH319+E328*F328*AH320+H328*I328*AH321+K328*L328*AH322</f>
        <v>6112.0436504616573</v>
      </c>
      <c r="O328" s="1" t="s">
        <v>30</v>
      </c>
      <c r="P328" s="1">
        <f>2*H313</f>
        <v>8640</v>
      </c>
      <c r="Q328" s="1">
        <f t="shared" si="34"/>
        <v>0.4728927789341909</v>
      </c>
      <c r="R328" s="1">
        <f t="shared" si="35"/>
        <v>16667.105993535559</v>
      </c>
    </row>
    <row r="329" spans="1:34" ht="30" x14ac:dyDescent="0.25">
      <c r="I329" s="84"/>
      <c r="J329" s="62" t="s">
        <v>52</v>
      </c>
      <c r="K329" s="85">
        <f>AB319*AB320*AB321*AB322</f>
        <v>0.99601501884617938</v>
      </c>
      <c r="L329" s="1">
        <f>AC322+0*L312-F322</f>
        <v>123.33333333333331</v>
      </c>
      <c r="M329" s="1">
        <f>B329*C329*AH319+E329*F329*AH320+H329*I329*AH321+K329*L329*AH322</f>
        <v>10441.55744757078</v>
      </c>
      <c r="O329" s="64" t="s">
        <v>65</v>
      </c>
      <c r="P329" s="65">
        <f>SUM(P325:P328)</f>
        <v>45920</v>
      </c>
      <c r="Q329" s="96" t="s">
        <v>108</v>
      </c>
      <c r="R329" s="97">
        <f>SUM(R325:R328)</f>
        <v>56239.294506770268</v>
      </c>
    </row>
    <row r="330" spans="1:34" x14ac:dyDescent="0.25">
      <c r="L330" s="176" t="s">
        <v>63</v>
      </c>
      <c r="M330" s="177">
        <f>SUM(M325:M329)</f>
        <v>18794.157629819489</v>
      </c>
    </row>
    <row r="331" spans="1:34" x14ac:dyDescent="0.25">
      <c r="L331" s="176"/>
      <c r="M331" s="177"/>
    </row>
    <row r="332" spans="1:34" x14ac:dyDescent="0.25">
      <c r="A332" s="178" t="s">
        <v>90</v>
      </c>
      <c r="B332" s="178"/>
      <c r="C332" s="178"/>
      <c r="D332" s="178"/>
      <c r="E332" s="178"/>
      <c r="F332" s="178"/>
      <c r="G332" s="178"/>
      <c r="H332" s="178"/>
      <c r="I332" s="178"/>
      <c r="J332" s="178"/>
      <c r="K332" s="178"/>
      <c r="L332" s="178"/>
      <c r="M332" s="178"/>
      <c r="N332" s="178"/>
    </row>
    <row r="333" spans="1:34" ht="15.75" x14ac:dyDescent="0.25">
      <c r="A333" s="87" t="s">
        <v>77</v>
      </c>
      <c r="B333" s="62" t="s">
        <v>49</v>
      </c>
      <c r="C333" s="90" t="s">
        <v>78</v>
      </c>
      <c r="D333" s="62" t="s">
        <v>88</v>
      </c>
      <c r="E333" s="87" t="s">
        <v>75</v>
      </c>
      <c r="F333" s="62" t="s">
        <v>57</v>
      </c>
      <c r="G333" s="90" t="s">
        <v>87</v>
      </c>
      <c r="H333" s="62" t="s">
        <v>88</v>
      </c>
      <c r="I333" s="87" t="s">
        <v>76</v>
      </c>
      <c r="J333" s="62" t="s">
        <v>61</v>
      </c>
      <c r="K333" s="90" t="s">
        <v>102</v>
      </c>
      <c r="L333" s="62" t="s">
        <v>88</v>
      </c>
      <c r="M333" s="87" t="s">
        <v>86</v>
      </c>
      <c r="N333" s="62" t="s">
        <v>84</v>
      </c>
      <c r="O333" s="90" t="s">
        <v>103</v>
      </c>
      <c r="P333" s="62" t="s">
        <v>88</v>
      </c>
    </row>
    <row r="334" spans="1:34" ht="24.75" x14ac:dyDescent="0.25">
      <c r="A334" s="62" t="s">
        <v>51</v>
      </c>
      <c r="B334" s="86">
        <v>1.8543515323034395E-6</v>
      </c>
      <c r="C334" s="86">
        <f>AC319+1*L312</f>
        <v>67</v>
      </c>
      <c r="D334" s="86">
        <f>MAX(B334*1.5*((C334-F319)*500/2),0)</f>
        <v>0</v>
      </c>
      <c r="E334" s="62" t="s">
        <v>55</v>
      </c>
      <c r="F334" s="86">
        <v>1.8835563550791993E-9</v>
      </c>
      <c r="G334" s="86">
        <f>AC320+2*L312</f>
        <v>156</v>
      </c>
      <c r="H334" s="86">
        <f>F334*1.5*((G334-F320)*500/2+(G334-F321)*500+(G334-F322)*500)</f>
        <v>1.6528207015819975E-4</v>
      </c>
      <c r="I334" s="62" t="s">
        <v>59</v>
      </c>
      <c r="J334" s="86">
        <v>6.940717749009221E-13</v>
      </c>
      <c r="K334" s="86">
        <f>AC321+3*L312</f>
        <v>221.66666666666666</v>
      </c>
      <c r="L334" s="86">
        <f>J334*1.5*((K334-G334)*500/2+(K334-G334)*500)</f>
        <v>5.1274552370805617E-8</v>
      </c>
      <c r="M334" s="62" t="s">
        <v>83</v>
      </c>
      <c r="N334" s="86">
        <v>1.8065793706946078E-15</v>
      </c>
      <c r="O334" s="86">
        <f>AC322+4*L312</f>
        <v>311.33333333333331</v>
      </c>
      <c r="P334" s="86">
        <f>N334*1.5*((O334-K334)*500/2)</f>
        <v>6.0746231339606186E-11</v>
      </c>
    </row>
    <row r="335" spans="1:34" ht="24.75" x14ac:dyDescent="0.25">
      <c r="A335" s="62" t="s">
        <v>52</v>
      </c>
      <c r="B335" s="86">
        <v>0.99999814564846767</v>
      </c>
      <c r="C335" s="88">
        <f>AC319</f>
        <v>55</v>
      </c>
      <c r="D335" s="86">
        <f>MAX(B335*1.5*((C335-F319)*500/2),0)</f>
        <v>0</v>
      </c>
      <c r="E335" s="62" t="s">
        <v>56</v>
      </c>
      <c r="F335" s="86">
        <v>1.0175999298198595E-3</v>
      </c>
      <c r="G335" s="86">
        <f>AC320+1*L312</f>
        <v>144</v>
      </c>
      <c r="H335" s="86">
        <f>F335*1.5*((G335-F320)*500/2+(G335-F321)*500+(G335-F322)*500)</f>
        <v>66.398395420745828</v>
      </c>
      <c r="I335" s="62" t="s">
        <v>60</v>
      </c>
      <c r="J335" s="86">
        <v>3.7685831100006217E-7</v>
      </c>
      <c r="K335" s="86">
        <f>AC321+2*L312</f>
        <v>209.66666666666666</v>
      </c>
      <c r="L335" s="86">
        <f>J335*1.5*((K335-G335)*500/2+(K335-G335)*500)</f>
        <v>2.7840407725129589E-2</v>
      </c>
      <c r="M335" s="62" t="s">
        <v>59</v>
      </c>
      <c r="N335" s="86">
        <v>9.7492826586219216E-10</v>
      </c>
      <c r="O335" s="86">
        <f>AC322+3*L312</f>
        <v>299.33333333333331</v>
      </c>
      <c r="P335" s="86">
        <f>N335*1.5*((O335-K335)*500/2)</f>
        <v>3.2781962939616205E-5</v>
      </c>
    </row>
    <row r="336" spans="1:34" x14ac:dyDescent="0.25">
      <c r="A336" s="86"/>
      <c r="B336" s="86"/>
      <c r="C336" s="89" t="s">
        <v>89</v>
      </c>
      <c r="D336" s="89">
        <f>SUM(D334:D335)</f>
        <v>0</v>
      </c>
      <c r="E336" s="62" t="s">
        <v>52</v>
      </c>
      <c r="F336" s="86">
        <v>0.99898239818662371</v>
      </c>
      <c r="G336" s="86">
        <f>AC320+0*L312</f>
        <v>132</v>
      </c>
      <c r="H336" s="86">
        <f>F336*1.5*((G336-F320)*500/2+(G336-F321)*500)</f>
        <v>48700.391911597901</v>
      </c>
      <c r="I336" s="62" t="s">
        <v>56</v>
      </c>
      <c r="J336" s="86">
        <v>2.2255595287331266E-6</v>
      </c>
      <c r="K336" s="86">
        <f>AC321+1*L312</f>
        <v>197.66666666666666</v>
      </c>
      <c r="L336" s="86">
        <f>J336*1.5*((K336-G336)*500/2+(K336-F322)*500)</f>
        <v>0.15105985301276095</v>
      </c>
      <c r="M336" s="62" t="s">
        <v>60</v>
      </c>
      <c r="N336" s="86">
        <v>3.9817389326973272E-6</v>
      </c>
      <c r="O336" s="86">
        <f>AC322+2*L312</f>
        <v>287.33333333333331</v>
      </c>
      <c r="P336" s="86">
        <f>N336*1.5*((O336-K336)*500/2)</f>
        <v>0.13388597161194762</v>
      </c>
    </row>
    <row r="337" spans="1:22" x14ac:dyDescent="0.25">
      <c r="A337" s="86"/>
      <c r="B337" s="86"/>
      <c r="C337" s="86"/>
      <c r="D337" s="86"/>
      <c r="E337" s="86"/>
      <c r="F337" s="86"/>
      <c r="G337" s="89" t="s">
        <v>79</v>
      </c>
      <c r="H337" s="89">
        <f>SUM(H334:H336)</f>
        <v>48766.790472300716</v>
      </c>
      <c r="I337" s="62" t="s">
        <v>52</v>
      </c>
      <c r="J337" s="86">
        <v>0.99861428311306388</v>
      </c>
      <c r="K337" s="86">
        <f>AC321+0*L312</f>
        <v>185.66666666666666</v>
      </c>
      <c r="L337" s="86">
        <f>J337*1.5*((K337-G336)*500/2+(K337-F322)*500)</f>
        <v>54299.651644272839</v>
      </c>
      <c r="M337" s="62" t="s">
        <v>56</v>
      </c>
      <c r="N337" s="86">
        <v>3.9809984332801873E-3</v>
      </c>
      <c r="O337" s="86">
        <f>AC322+1*L312</f>
        <v>275.33333333333331</v>
      </c>
      <c r="P337" s="86">
        <f>N337*1.5*((O337-K337)*500/2)</f>
        <v>133.86107231904629</v>
      </c>
    </row>
    <row r="338" spans="1:22" x14ac:dyDescent="0.25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9" t="s">
        <v>79</v>
      </c>
      <c r="L338" s="89">
        <f>SUM(L334:L337)</f>
        <v>54299.830544584853</v>
      </c>
      <c r="M338" s="62" t="s">
        <v>52</v>
      </c>
      <c r="N338" s="86">
        <v>0.99601501884617938</v>
      </c>
      <c r="O338" s="86">
        <f>AC322+0*L312</f>
        <v>263.33333333333331</v>
      </c>
      <c r="P338" s="86">
        <f>N338*1.5*((O338-K337)*500/2)</f>
        <v>29008.937423894968</v>
      </c>
      <c r="Q338" s="179" t="s">
        <v>80</v>
      </c>
      <c r="R338" s="179"/>
      <c r="S338" s="180">
        <f>D336+H337+L338+P339</f>
        <v>132209.55343185322</v>
      </c>
      <c r="T338" s="180"/>
    </row>
    <row r="339" spans="1:22" x14ac:dyDescent="0.25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9" t="s">
        <v>79</v>
      </c>
      <c r="P339" s="89">
        <f>SUM(P334:P338)</f>
        <v>29142.93241496765</v>
      </c>
      <c r="Q339" s="179"/>
      <c r="R339" s="179"/>
      <c r="S339" s="180"/>
      <c r="T339" s="180"/>
    </row>
    <row r="340" spans="1:22" x14ac:dyDescent="0.25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</row>
    <row r="341" spans="1:22" x14ac:dyDescent="0.25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</row>
    <row r="342" spans="1:22" x14ac:dyDescent="0.25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</row>
    <row r="343" spans="1:22" ht="24.75" thickBot="1" x14ac:dyDescent="0.3">
      <c r="O343" s="131" t="s">
        <v>81</v>
      </c>
      <c r="P343" s="131"/>
      <c r="Q343" s="131">
        <f>(R329+P329+M330+S338)/AC322</f>
        <v>961.37850215864432</v>
      </c>
      <c r="R343" s="131"/>
    </row>
    <row r="344" spans="1:22" x14ac:dyDescent="0.25">
      <c r="A344" s="181" t="s">
        <v>113</v>
      </c>
      <c r="B344" s="182"/>
    </row>
    <row r="345" spans="1:22" ht="15.75" thickBot="1" x14ac:dyDescent="0.3">
      <c r="A345" s="183"/>
      <c r="B345" s="184"/>
    </row>
    <row r="346" spans="1:22" ht="21" x14ac:dyDescent="0.35">
      <c r="A346" s="185" t="s">
        <v>14</v>
      </c>
      <c r="B346" s="185"/>
      <c r="C346" s="165"/>
      <c r="D346" s="165"/>
      <c r="E346" s="165"/>
      <c r="F346" s="165"/>
      <c r="G346" s="165"/>
      <c r="H346" s="165"/>
      <c r="I346" s="165"/>
      <c r="J346" s="165"/>
      <c r="K346" s="165"/>
      <c r="L346" s="165"/>
      <c r="M346" s="165"/>
      <c r="O346" s="166" t="s">
        <v>72</v>
      </c>
      <c r="P346" s="166"/>
      <c r="Q346" s="166"/>
      <c r="R346" s="166"/>
      <c r="S346" s="166"/>
      <c r="T346" s="166"/>
      <c r="U346" s="166"/>
      <c r="V346" s="166"/>
    </row>
    <row r="347" spans="1:22" ht="36" x14ac:dyDescent="0.25">
      <c r="A347" s="4" t="s">
        <v>15</v>
      </c>
      <c r="B347" s="4" t="s">
        <v>16</v>
      </c>
      <c r="C347" s="4" t="s">
        <v>31</v>
      </c>
      <c r="D347" s="6" t="s">
        <v>17</v>
      </c>
      <c r="E347" s="6" t="s">
        <v>18</v>
      </c>
      <c r="F347" s="6" t="s">
        <v>19</v>
      </c>
      <c r="G347" s="6" t="s">
        <v>20</v>
      </c>
      <c r="H347" s="6" t="s">
        <v>21</v>
      </c>
      <c r="I347" s="6" t="s">
        <v>22</v>
      </c>
      <c r="J347" s="6" t="s">
        <v>23</v>
      </c>
      <c r="K347" s="6" t="s">
        <v>24</v>
      </c>
      <c r="L347" s="6" t="s">
        <v>25</v>
      </c>
      <c r="M347" s="6" t="s">
        <v>26</v>
      </c>
      <c r="N347" s="8"/>
      <c r="O347" s="167" t="s">
        <v>32</v>
      </c>
      <c r="P347" s="167" t="s">
        <v>35</v>
      </c>
      <c r="Q347" s="167" t="s">
        <v>66</v>
      </c>
      <c r="R347" s="99" t="s">
        <v>67</v>
      </c>
      <c r="S347" s="99" t="s">
        <v>68</v>
      </c>
      <c r="T347" s="167" t="s">
        <v>69</v>
      </c>
      <c r="U347" s="71" t="s">
        <v>33</v>
      </c>
      <c r="V347" s="99" t="s">
        <v>70</v>
      </c>
    </row>
    <row r="348" spans="1:22" x14ac:dyDescent="0.25">
      <c r="A348" s="3" t="s">
        <v>27</v>
      </c>
      <c r="B348" s="3">
        <v>0</v>
      </c>
      <c r="C348" s="3">
        <v>0.3</v>
      </c>
      <c r="D348" s="3">
        <v>243</v>
      </c>
      <c r="E348" s="3">
        <v>1.73</v>
      </c>
      <c r="F348" s="3">
        <v>5</v>
      </c>
      <c r="G348" s="169">
        <v>12</v>
      </c>
      <c r="H348" s="3">
        <v>1820</v>
      </c>
      <c r="I348" s="169">
        <v>19645</v>
      </c>
      <c r="J348" s="3">
        <v>20</v>
      </c>
      <c r="K348" s="3">
        <v>40</v>
      </c>
      <c r="L348" s="3">
        <v>500</v>
      </c>
      <c r="M348" s="3">
        <v>1000</v>
      </c>
      <c r="O348" s="168"/>
      <c r="P348" s="168"/>
      <c r="Q348" s="168"/>
      <c r="R348" s="72" t="s">
        <v>71</v>
      </c>
      <c r="S348" s="72" t="s">
        <v>71</v>
      </c>
      <c r="T348" s="168"/>
      <c r="U348" s="73">
        <v>500</v>
      </c>
      <c r="V348" s="3">
        <v>1.5</v>
      </c>
    </row>
    <row r="349" spans="1:22" x14ac:dyDescent="0.25">
      <c r="A349" s="3" t="s">
        <v>28</v>
      </c>
      <c r="B349" s="3">
        <v>0</v>
      </c>
      <c r="C349" s="3">
        <v>0.3</v>
      </c>
      <c r="D349" s="3">
        <v>254</v>
      </c>
      <c r="E349" s="3">
        <v>1.88</v>
      </c>
      <c r="F349" s="3">
        <v>3</v>
      </c>
      <c r="G349" s="170"/>
      <c r="H349" s="3">
        <v>2720</v>
      </c>
      <c r="I349" s="170"/>
      <c r="J349" s="5"/>
      <c r="K349" s="5"/>
      <c r="L349" s="5"/>
      <c r="M349" s="5"/>
      <c r="O349" s="74">
        <v>1</v>
      </c>
      <c r="P349" s="74">
        <v>106</v>
      </c>
      <c r="Q349" s="74">
        <v>110</v>
      </c>
      <c r="R349" s="74">
        <v>6</v>
      </c>
      <c r="S349" s="74">
        <v>5</v>
      </c>
      <c r="T349" s="74">
        <f>R349*$U$5/60+S349</f>
        <v>55</v>
      </c>
      <c r="U349" s="75"/>
    </row>
    <row r="350" spans="1:22" x14ac:dyDescent="0.25">
      <c r="A350" s="3" t="s">
        <v>29</v>
      </c>
      <c r="B350" s="3">
        <v>0</v>
      </c>
      <c r="C350" s="3">
        <v>0.3</v>
      </c>
      <c r="D350" s="3">
        <v>143</v>
      </c>
      <c r="E350" s="3">
        <v>2.4300000000000002</v>
      </c>
      <c r="F350" s="3">
        <v>8</v>
      </c>
      <c r="G350" s="170"/>
      <c r="H350" s="3">
        <v>3700</v>
      </c>
      <c r="I350" s="170"/>
      <c r="J350" s="5"/>
      <c r="K350" s="140" t="s">
        <v>73</v>
      </c>
      <c r="L350" s="141">
        <v>12</v>
      </c>
      <c r="M350" s="140" t="s">
        <v>74</v>
      </c>
      <c r="N350" s="141">
        <v>19645</v>
      </c>
      <c r="O350" s="74">
        <v>2</v>
      </c>
      <c r="P350" s="74">
        <v>76</v>
      </c>
      <c r="Q350" s="74">
        <v>40</v>
      </c>
      <c r="R350" s="74">
        <v>9</v>
      </c>
      <c r="S350" s="74">
        <v>2</v>
      </c>
      <c r="T350" s="74">
        <f t="shared" ref="T350:T352" si="36">R350*$U$5/60+S350</f>
        <v>77</v>
      </c>
      <c r="U350" s="75"/>
    </row>
    <row r="351" spans="1:22" x14ac:dyDescent="0.25">
      <c r="A351" s="3" t="s">
        <v>30</v>
      </c>
      <c r="B351" s="3">
        <v>0</v>
      </c>
      <c r="C351" s="3">
        <v>0.3</v>
      </c>
      <c r="D351" s="3">
        <v>449</v>
      </c>
      <c r="E351" s="3">
        <v>2.5299999999999998</v>
      </c>
      <c r="F351" s="3">
        <v>4</v>
      </c>
      <c r="G351" s="171"/>
      <c r="H351" s="3">
        <v>4320</v>
      </c>
      <c r="I351" s="171"/>
      <c r="J351" s="5"/>
      <c r="K351" s="140"/>
      <c r="L351" s="141"/>
      <c r="M351" s="140"/>
      <c r="N351" s="141"/>
      <c r="O351" s="74">
        <v>3</v>
      </c>
      <c r="P351" s="74">
        <v>95</v>
      </c>
      <c r="Q351" s="74">
        <v>67</v>
      </c>
      <c r="R351" s="74">
        <v>5</v>
      </c>
      <c r="S351" s="74">
        <v>4</v>
      </c>
      <c r="T351" s="74">
        <f t="shared" si="36"/>
        <v>45.666666666666664</v>
      </c>
      <c r="U351" s="75"/>
    </row>
    <row r="352" spans="1:22" ht="15.75" thickBo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O352" s="74">
        <v>4</v>
      </c>
      <c r="P352" s="74">
        <v>140</v>
      </c>
      <c r="Q352" s="94">
        <v>85</v>
      </c>
      <c r="R352" s="94">
        <v>8</v>
      </c>
      <c r="S352" s="94">
        <v>3</v>
      </c>
      <c r="T352" s="74">
        <f t="shared" si="36"/>
        <v>69.666666666666671</v>
      </c>
    </row>
    <row r="353" spans="1:34" ht="15" customHeight="1" x14ac:dyDescent="0.25">
      <c r="A353" s="142" t="s">
        <v>100</v>
      </c>
      <c r="B353" s="144" t="s">
        <v>129</v>
      </c>
      <c r="C353" s="144"/>
      <c r="D353" s="144"/>
      <c r="E353" s="144"/>
      <c r="F353" s="20" t="s">
        <v>27</v>
      </c>
      <c r="G353" s="20" t="s">
        <v>28</v>
      </c>
      <c r="H353" s="20" t="s">
        <v>29</v>
      </c>
      <c r="I353" s="20" t="s">
        <v>30</v>
      </c>
    </row>
    <row r="354" spans="1:34" ht="15.75" customHeight="1" thickBot="1" x14ac:dyDescent="0.3">
      <c r="A354" s="143"/>
      <c r="B354" s="145"/>
      <c r="C354" s="145"/>
      <c r="D354" s="145"/>
      <c r="E354" s="145"/>
      <c r="F354" s="20">
        <v>91</v>
      </c>
      <c r="G354" s="26">
        <v>91</v>
      </c>
      <c r="H354" s="26">
        <v>91</v>
      </c>
      <c r="I354" s="26">
        <v>91</v>
      </c>
    </row>
    <row r="355" spans="1:34" ht="15.75" customHeight="1" thickBot="1" x14ac:dyDescent="0.3">
      <c r="A355" s="143"/>
      <c r="B355" s="145"/>
      <c r="C355" s="145"/>
      <c r="D355" s="145"/>
      <c r="E355" s="145"/>
      <c r="F355" s="7"/>
      <c r="G355" s="146" t="s">
        <v>27</v>
      </c>
      <c r="H355" s="147"/>
      <c r="I355" s="147"/>
      <c r="J355" s="147"/>
      <c r="K355" s="148"/>
      <c r="L355" s="149" t="s">
        <v>28</v>
      </c>
      <c r="M355" s="150"/>
      <c r="N355" s="150"/>
      <c r="O355" s="150"/>
      <c r="P355" s="151"/>
      <c r="Q355" s="152" t="s">
        <v>29</v>
      </c>
      <c r="R355" s="153"/>
      <c r="S355" s="153"/>
      <c r="T355" s="153"/>
      <c r="U355" s="154"/>
      <c r="V355" s="155" t="s">
        <v>30</v>
      </c>
      <c r="W355" s="156"/>
      <c r="X355" s="156"/>
      <c r="Y355" s="156"/>
      <c r="Z355" s="157"/>
      <c r="AA355" s="158" t="s">
        <v>42</v>
      </c>
      <c r="AB355" s="159"/>
      <c r="AC355" s="160" t="s">
        <v>44</v>
      </c>
      <c r="AD355" s="162" t="s">
        <v>47</v>
      </c>
      <c r="AE355" s="163"/>
      <c r="AF355" s="163"/>
      <c r="AG355" s="164"/>
      <c r="AH355" s="138" t="s">
        <v>62</v>
      </c>
    </row>
    <row r="356" spans="1:34" ht="36.75" x14ac:dyDescent="0.25">
      <c r="A356" s="21" t="s">
        <v>32</v>
      </c>
      <c r="B356" s="22" t="s">
        <v>37</v>
      </c>
      <c r="C356" s="23" t="s">
        <v>33</v>
      </c>
      <c r="D356" s="22" t="s">
        <v>38</v>
      </c>
      <c r="E356" s="22" t="s">
        <v>34</v>
      </c>
      <c r="F356" s="25" t="s">
        <v>35</v>
      </c>
      <c r="G356" s="27" t="s">
        <v>39</v>
      </c>
      <c r="H356" s="10" t="s">
        <v>40</v>
      </c>
      <c r="I356" s="10" t="s">
        <v>45</v>
      </c>
      <c r="J356" s="10" t="s">
        <v>46</v>
      </c>
      <c r="K356" s="28" t="s">
        <v>41</v>
      </c>
      <c r="L356" s="30" t="s">
        <v>39</v>
      </c>
      <c r="M356" s="13" t="s">
        <v>40</v>
      </c>
      <c r="N356" s="13" t="s">
        <v>45</v>
      </c>
      <c r="O356" s="13" t="s">
        <v>46</v>
      </c>
      <c r="P356" s="31" t="s">
        <v>41</v>
      </c>
      <c r="Q356" s="33" t="s">
        <v>39</v>
      </c>
      <c r="R356" s="12" t="s">
        <v>40</v>
      </c>
      <c r="S356" s="12" t="s">
        <v>45</v>
      </c>
      <c r="T356" s="12" t="s">
        <v>46</v>
      </c>
      <c r="U356" s="34" t="s">
        <v>41</v>
      </c>
      <c r="V356" s="36" t="s">
        <v>39</v>
      </c>
      <c r="W356" s="11" t="s">
        <v>40</v>
      </c>
      <c r="X356" s="11" t="s">
        <v>45</v>
      </c>
      <c r="Y356" s="11" t="s">
        <v>46</v>
      </c>
      <c r="Z356" s="37" t="s">
        <v>41</v>
      </c>
      <c r="AA356" s="39" t="s">
        <v>41</v>
      </c>
      <c r="AB356" s="40" t="s">
        <v>43</v>
      </c>
      <c r="AC356" s="161"/>
      <c r="AD356" s="43" t="s">
        <v>27</v>
      </c>
      <c r="AE356" s="1" t="s">
        <v>28</v>
      </c>
      <c r="AF356" s="1" t="s">
        <v>29</v>
      </c>
      <c r="AG356" s="1" t="s">
        <v>30</v>
      </c>
      <c r="AH356" s="139"/>
    </row>
    <row r="357" spans="1:34" x14ac:dyDescent="0.25">
      <c r="A357" s="24">
        <v>1</v>
      </c>
      <c r="B357" s="9">
        <v>6</v>
      </c>
      <c r="C357" s="9">
        <v>500</v>
      </c>
      <c r="D357" s="9">
        <v>5</v>
      </c>
      <c r="E357" s="48">
        <f>B357*C357/60+D357</f>
        <v>55</v>
      </c>
      <c r="F357" s="100">
        <v>106</v>
      </c>
      <c r="G357" s="49">
        <f>B$5*(1-AD357*C$5)</f>
        <v>0</v>
      </c>
      <c r="H357" s="50">
        <f>G357+E357</f>
        <v>55</v>
      </c>
      <c r="I357" s="15">
        <f>(H357/D$5)^E$5</f>
        <v>7.6511831764011648E-2</v>
      </c>
      <c r="J357" s="15">
        <f>(G357/D$5)^E$5</f>
        <v>0</v>
      </c>
      <c r="K357" s="29">
        <f>1-EXP(J357-I357)</f>
        <v>7.3658046035411151E-2</v>
      </c>
      <c r="L357" s="51">
        <f>B$6*(1-AE357*C$6)</f>
        <v>0</v>
      </c>
      <c r="M357" s="52">
        <f>L357+E357</f>
        <v>55</v>
      </c>
      <c r="N357" s="17">
        <f>(M357/D$6)^E$6</f>
        <v>5.633709759436846E-2</v>
      </c>
      <c r="O357" s="17">
        <f>(L357/D$6)^E$6</f>
        <v>0</v>
      </c>
      <c r="P357" s="32">
        <f>1-EXP(O357-N357)</f>
        <v>5.4779549360660096E-2</v>
      </c>
      <c r="Q357" s="53">
        <f>B$7*(1-AF357*C$7)</f>
        <v>0</v>
      </c>
      <c r="R357" s="54">
        <f>Q357+E357</f>
        <v>55</v>
      </c>
      <c r="S357" s="16">
        <f>(R357/D$7)^E$7</f>
        <v>9.8087748172662498E-2</v>
      </c>
      <c r="T357" s="16">
        <f>(Q357/D$7)^E$7</f>
        <v>0</v>
      </c>
      <c r="U357" s="35">
        <f>1-EXP(T357-S357)</f>
        <v>9.3430649540250821E-2</v>
      </c>
      <c r="V357" s="55">
        <f>B$8*(1-AG357*C$8)</f>
        <v>0</v>
      </c>
      <c r="W357" s="56">
        <f>V357+E357</f>
        <v>55</v>
      </c>
      <c r="X357" s="18">
        <f>(W357/D$8)^E$8</f>
        <v>4.9309927237744132E-3</v>
      </c>
      <c r="Y357" s="18">
        <f>(V357/D$8)^E$8</f>
        <v>0</v>
      </c>
      <c r="Z357" s="38">
        <f>1-EXP(Y357-X357)</f>
        <v>4.9188553371368737E-3</v>
      </c>
      <c r="AA357" s="41">
        <f>K357*P357*U357*Z357</f>
        <v>1.8543515323034395E-6</v>
      </c>
      <c r="AB357" s="42">
        <f>1-AA357</f>
        <v>0.99999814564846767</v>
      </c>
      <c r="AC357" s="47">
        <f>(AD357*F$5+AE357*F$6+AF357*F$7+AG357*F$8)+E357</f>
        <v>55</v>
      </c>
      <c r="AD357" s="43">
        <v>0</v>
      </c>
      <c r="AE357" s="1">
        <v>0</v>
      </c>
      <c r="AF357" s="1">
        <v>0</v>
      </c>
      <c r="AG357" s="1">
        <v>0</v>
      </c>
      <c r="AH357" s="74">
        <v>110</v>
      </c>
    </row>
    <row r="358" spans="1:34" x14ac:dyDescent="0.25">
      <c r="A358" s="76">
        <v>2</v>
      </c>
      <c r="B358" s="58">
        <v>9</v>
      </c>
      <c r="C358" s="9">
        <v>500</v>
      </c>
      <c r="D358" s="58">
        <v>2</v>
      </c>
      <c r="E358" s="48">
        <f t="shared" ref="E358:E360" si="37">B358*C358/60+D358</f>
        <v>77</v>
      </c>
      <c r="F358" s="100">
        <v>76</v>
      </c>
      <c r="G358" s="49">
        <f>H357*(1-AD358*C$5)</f>
        <v>55</v>
      </c>
      <c r="H358" s="50">
        <f>G358+E358</f>
        <v>132</v>
      </c>
      <c r="I358" s="15">
        <f>(H358/D$5)^E$5</f>
        <v>0.34793173894508389</v>
      </c>
      <c r="J358" s="15">
        <f>(G358/D$5)^E$5</f>
        <v>7.6511831764011648E-2</v>
      </c>
      <c r="K358" s="29">
        <f>1-EXP(J358-I358)</f>
        <v>0.23770366451454039</v>
      </c>
      <c r="L358" s="51">
        <f>M357*(1-AE358*C$6)</f>
        <v>55</v>
      </c>
      <c r="M358" s="52">
        <f>L358+E358</f>
        <v>132</v>
      </c>
      <c r="N358" s="17">
        <f>(M358/D$6)^E$6</f>
        <v>0.29214038913862722</v>
      </c>
      <c r="O358" s="17">
        <f>(L358/D$6)^E$6</f>
        <v>5.633709759436846E-2</v>
      </c>
      <c r="P358" s="32">
        <f>1-EXP(O358-N358)</f>
        <v>0.21006395424947955</v>
      </c>
      <c r="Q358" s="53">
        <f>R357*(1-AF358*C$7)</f>
        <v>55</v>
      </c>
      <c r="R358" s="54">
        <f>Q358+E358</f>
        <v>132</v>
      </c>
      <c r="S358" s="16">
        <f>(R358/D$7)^E$7</f>
        <v>0.82324306668270808</v>
      </c>
      <c r="T358" s="16">
        <f>(Q358/D$7)^E$7</f>
        <v>9.8087748172662498E-2</v>
      </c>
      <c r="U358" s="35">
        <f>1-EXP(T358-S358)</f>
        <v>0.5157506497734845</v>
      </c>
      <c r="V358" s="55">
        <f>W357*(1-AG358*C$8)</f>
        <v>55</v>
      </c>
      <c r="W358" s="56">
        <f>V358+E358</f>
        <v>132</v>
      </c>
      <c r="X358" s="18">
        <f>(W358/D$8)^E$8</f>
        <v>4.5171946303006208E-2</v>
      </c>
      <c r="Y358" s="18">
        <f>(V358/D$8)^E$8</f>
        <v>4.9309927237744132E-3</v>
      </c>
      <c r="Z358" s="38">
        <f>1-EXP(Y358-X358)</f>
        <v>3.9442038613110686E-2</v>
      </c>
      <c r="AA358" s="41">
        <f>K358*P358*U358*Z358</f>
        <v>1.0157493454002661E-3</v>
      </c>
      <c r="AB358" s="42">
        <f>1-AA358</f>
        <v>0.99898425065459973</v>
      </c>
      <c r="AC358" s="47">
        <f>AF358*F$7+E358+AC357</f>
        <v>132</v>
      </c>
      <c r="AD358" s="43">
        <v>0</v>
      </c>
      <c r="AE358" s="1">
        <v>0</v>
      </c>
      <c r="AF358" s="1">
        <v>0</v>
      </c>
      <c r="AG358" s="1">
        <v>0</v>
      </c>
      <c r="AH358" s="74">
        <v>40</v>
      </c>
    </row>
    <row r="359" spans="1:34" x14ac:dyDescent="0.25">
      <c r="A359" s="24">
        <v>4</v>
      </c>
      <c r="B359" s="9">
        <v>8</v>
      </c>
      <c r="C359" s="58">
        <v>500</v>
      </c>
      <c r="D359" s="58">
        <v>3</v>
      </c>
      <c r="E359" s="48">
        <f t="shared" si="37"/>
        <v>69.666666666666671</v>
      </c>
      <c r="F359" s="100">
        <v>140</v>
      </c>
      <c r="G359" s="68">
        <f>H358*(1-AD359*C$5)</f>
        <v>92.399999999999991</v>
      </c>
      <c r="H359" s="69">
        <f>G359+E359</f>
        <v>162.06666666666666</v>
      </c>
      <c r="I359" s="70">
        <f>(H359/D$5)^E$5</f>
        <v>0.49621655271682308</v>
      </c>
      <c r="J359" s="70">
        <f>(G359/D$5)^E$5</f>
        <v>0.18772134485664987</v>
      </c>
      <c r="K359" s="29">
        <f>1-EXP(J359-I359)</f>
        <v>0.26544852773589911</v>
      </c>
      <c r="L359" s="51">
        <f>M358*(1-AE359*C$6)</f>
        <v>92.399999999999991</v>
      </c>
      <c r="M359" s="52">
        <f>L359+E359</f>
        <v>162.06666666666666</v>
      </c>
      <c r="N359" s="17">
        <f>(M359/D$6)^E$6</f>
        <v>0.42967171801167126</v>
      </c>
      <c r="O359" s="17">
        <f>(L359/D$6)^E$6</f>
        <v>0.14940871089337018</v>
      </c>
      <c r="P359" s="32">
        <f>1-EXP(O359-N359)</f>
        <v>0.24441500891064738</v>
      </c>
      <c r="Q359" s="53">
        <f>R358*(1-AF359*C$7)</f>
        <v>92.399999999999991</v>
      </c>
      <c r="R359" s="54">
        <f>Q359+E359</f>
        <v>162.06666666666666</v>
      </c>
      <c r="S359" s="16">
        <f>(R359/D$7)^E$7</f>
        <v>1.3554675326688883</v>
      </c>
      <c r="T359" s="16">
        <f>(Q359/D$7)^E$7</f>
        <v>0.34603204471909926</v>
      </c>
      <c r="U359" s="35">
        <f>1-EXP(T359-S359)</f>
        <v>0.63557535638113816</v>
      </c>
      <c r="V359" s="55">
        <f>W358*(1-AG359*C$8)</f>
        <v>92.399999999999991</v>
      </c>
      <c r="W359" s="56">
        <f>V359+E359</f>
        <v>162.06666666666666</v>
      </c>
      <c r="X359" s="18">
        <f>(W359/D$8)^E$8</f>
        <v>7.591748594503879E-2</v>
      </c>
      <c r="Y359" s="18">
        <f>(V359/D$8)^E$8</f>
        <v>1.832174542453625E-2</v>
      </c>
      <c r="Z359" s="38">
        <f>1-EXP(Y359-X359)</f>
        <v>5.5968496007891999E-2</v>
      </c>
      <c r="AA359" s="41">
        <f>K359*P359*U359*Z359</f>
        <v>2.3079100512277597E-3</v>
      </c>
      <c r="AB359" s="42">
        <f>1-AA359</f>
        <v>0.99769208994877223</v>
      </c>
      <c r="AC359" s="47">
        <f>(AF359*F$7)+E359+AC358</f>
        <v>209.66666666666669</v>
      </c>
      <c r="AD359" s="77">
        <v>1</v>
      </c>
      <c r="AE359" s="78">
        <v>1</v>
      </c>
      <c r="AF359" s="78">
        <v>1</v>
      </c>
      <c r="AG359" s="78">
        <v>1</v>
      </c>
      <c r="AH359" s="74">
        <v>85</v>
      </c>
    </row>
    <row r="360" spans="1:34" ht="15.75" thickBot="1" x14ac:dyDescent="0.3">
      <c r="A360" s="57">
        <v>3</v>
      </c>
      <c r="B360" s="58">
        <v>5</v>
      </c>
      <c r="C360" s="58">
        <v>500</v>
      </c>
      <c r="D360" s="9">
        <v>4</v>
      </c>
      <c r="E360" s="48">
        <f t="shared" si="37"/>
        <v>45.666666666666664</v>
      </c>
      <c r="F360" s="100">
        <v>95</v>
      </c>
      <c r="G360" s="68">
        <f>H359*(1-AD360*C$5)</f>
        <v>113.44666666666666</v>
      </c>
      <c r="H360" s="69">
        <f>G360+E360</f>
        <v>159.11333333333332</v>
      </c>
      <c r="I360" s="70">
        <f>(H360/D$5)^E$5</f>
        <v>0.48067719678878712</v>
      </c>
      <c r="J360" s="70">
        <f>(G360/D$5)^E$5</f>
        <v>0.26772618933403824</v>
      </c>
      <c r="K360" s="29">
        <f>1-EXP(J360-I360)</f>
        <v>0.19180426818747698</v>
      </c>
      <c r="L360" s="51">
        <f>M359*(1-AE360*C$6)</f>
        <v>113.44666666666666</v>
      </c>
      <c r="M360" s="52">
        <f>L360+E360</f>
        <v>159.11333333333332</v>
      </c>
      <c r="N360" s="17">
        <f>(M360/D$6)^E$6</f>
        <v>0.41506964346675868</v>
      </c>
      <c r="O360" s="17">
        <f>(L360/D$6)^E$6</f>
        <v>0.21974605320663379</v>
      </c>
      <c r="P360" s="32">
        <f>1-EXP(O360-N360)</f>
        <v>0.17743156014988948</v>
      </c>
      <c r="Q360" s="53">
        <f>R359*(1-AF360*C$7)</f>
        <v>113.44666666666666</v>
      </c>
      <c r="R360" s="54">
        <f>Q360+E360</f>
        <v>159.11333333333332</v>
      </c>
      <c r="S360" s="16">
        <f>(R360/D$7)^E$7</f>
        <v>1.2962250315687902</v>
      </c>
      <c r="T360" s="16">
        <f>(Q360/D$7)^E$7</f>
        <v>0.56974084673408143</v>
      </c>
      <c r="U360" s="35">
        <f>1-EXP(T360-S360)</f>
        <v>0.51639372505256609</v>
      </c>
      <c r="V360" s="55">
        <f>W359*(1-AG360*C$8)</f>
        <v>113.44666666666666</v>
      </c>
      <c r="W360" s="56">
        <f>V360+E360</f>
        <v>159.11333333333332</v>
      </c>
      <c r="X360" s="18">
        <f>(W360/D$8)^E$8</f>
        <v>7.246601667912464E-2</v>
      </c>
      <c r="Y360" s="18">
        <f>(V360/D$8)^E$8</f>
        <v>3.0792139028626313E-2</v>
      </c>
      <c r="Z360" s="38">
        <f>1-EXP(Y360-X360)</f>
        <v>4.0817459565590464E-2</v>
      </c>
      <c r="AA360" s="41">
        <f>K360*P360*U360*Z360</f>
        <v>7.1732516356973533E-4</v>
      </c>
      <c r="AB360" s="42">
        <f>1-AA360</f>
        <v>0.9992826748364303</v>
      </c>
      <c r="AC360" s="47">
        <f>(AF360*F$7)+E360+AC359</f>
        <v>263.33333333333337</v>
      </c>
      <c r="AD360" s="80">
        <v>1</v>
      </c>
      <c r="AE360" s="45">
        <v>1</v>
      </c>
      <c r="AF360" s="81">
        <v>1</v>
      </c>
      <c r="AG360" s="45">
        <v>1</v>
      </c>
      <c r="AH360" s="94">
        <v>67</v>
      </c>
    </row>
    <row r="361" spans="1:34" ht="18.75" x14ac:dyDescent="0.3">
      <c r="A361" s="132" t="s">
        <v>53</v>
      </c>
      <c r="B361" s="132"/>
      <c r="C361" s="132"/>
      <c r="D361" s="132"/>
      <c r="E361" s="132"/>
      <c r="F361" s="132"/>
      <c r="G361" s="132"/>
      <c r="H361" s="132"/>
      <c r="I361" s="132"/>
      <c r="J361" s="132"/>
      <c r="AG361" s="46"/>
    </row>
    <row r="362" spans="1:34" ht="15.75" x14ac:dyDescent="0.25">
      <c r="A362" s="19" t="s">
        <v>58</v>
      </c>
      <c r="B362" s="60" t="s">
        <v>49</v>
      </c>
      <c r="C362" s="61" t="s">
        <v>50</v>
      </c>
      <c r="D362" s="19" t="s">
        <v>48</v>
      </c>
      <c r="E362" s="60" t="s">
        <v>57</v>
      </c>
      <c r="F362" s="61" t="s">
        <v>50</v>
      </c>
      <c r="G362" s="19" t="s">
        <v>82</v>
      </c>
      <c r="H362" s="60" t="s">
        <v>61</v>
      </c>
      <c r="I362" s="61" t="s">
        <v>50</v>
      </c>
      <c r="J362" s="19" t="s">
        <v>54</v>
      </c>
      <c r="K362" s="83" t="s">
        <v>84</v>
      </c>
      <c r="L362" s="61" t="s">
        <v>50</v>
      </c>
      <c r="M362" s="61" t="s">
        <v>85</v>
      </c>
      <c r="O362" s="174" t="s">
        <v>64</v>
      </c>
      <c r="P362" s="174"/>
      <c r="Q362" s="175" t="s">
        <v>109</v>
      </c>
      <c r="R362" s="175"/>
    </row>
    <row r="363" spans="1:34" ht="24.75" x14ac:dyDescent="0.25">
      <c r="A363" s="61" t="s">
        <v>51</v>
      </c>
      <c r="B363" s="1">
        <f>AA357</f>
        <v>1.8543515323034395E-6</v>
      </c>
      <c r="C363" s="59">
        <f>MAX(AC357+1*L350-F357,0)</f>
        <v>0</v>
      </c>
      <c r="D363" s="62" t="s">
        <v>55</v>
      </c>
      <c r="E363" s="1">
        <f>AA357*AA358</f>
        <v>1.8835563550791993E-9</v>
      </c>
      <c r="F363" s="1">
        <f>MAX(AC358+2*L350-F358,0)</f>
        <v>80</v>
      </c>
      <c r="G363" s="62" t="s">
        <v>59</v>
      </c>
      <c r="H363" s="1">
        <f>AA357*AA358*AA359</f>
        <v>4.3470786439412075E-12</v>
      </c>
      <c r="I363" s="1">
        <f>AC359+3*L350-F359</f>
        <v>105.66666666666669</v>
      </c>
      <c r="J363" s="62" t="s">
        <v>83</v>
      </c>
      <c r="K363" s="1">
        <f>AA357*AA358*AA359*AA360</f>
        <v>3.1182688993156299E-15</v>
      </c>
      <c r="L363" s="1">
        <f>AC360+4*L350-F360</f>
        <v>216.33333333333337</v>
      </c>
      <c r="M363" s="1">
        <f>B363*C363*AH357+E363*F363*AH358+H363*I363*AH359+K363*L363*AH360</f>
        <v>6.0664695448359528E-6</v>
      </c>
      <c r="O363" s="1" t="s">
        <v>27</v>
      </c>
      <c r="P363" s="1">
        <f>2*H348</f>
        <v>3640</v>
      </c>
      <c r="Q363" s="1">
        <f>(K357*(1-P357)*(1-U357)*(1-Z357))+(P357*(1-K357)*(1-U357)*(1-Z357))+(U357*(1-K357)*(1-P357)*(1-Z357))+(Z357*(1-K357)*(1-P357)*(1-U357))</f>
        <v>0.19389466846386108</v>
      </c>
      <c r="R363" s="1">
        <f>Q363*(L$7*(J$5*K$5+L$5)+I$5)</f>
        <v>6833.8175900087836</v>
      </c>
    </row>
    <row r="364" spans="1:34" ht="24.75" x14ac:dyDescent="0.25">
      <c r="A364" s="62" t="s">
        <v>52</v>
      </c>
      <c r="B364" s="1">
        <f>AB357</f>
        <v>0.99999814564846767</v>
      </c>
      <c r="C364" s="59">
        <f>MAX(AC357-F357,0)</f>
        <v>0</v>
      </c>
      <c r="D364" s="62" t="s">
        <v>56</v>
      </c>
      <c r="E364" s="1">
        <f>AA357*AB358+AA358*AB357</f>
        <v>1.0175999298198595E-3</v>
      </c>
      <c r="F364" s="1">
        <f>MAX(AC358+1*L350-F358,0)</f>
        <v>68</v>
      </c>
      <c r="G364" s="62" t="s">
        <v>60</v>
      </c>
      <c r="H364" s="1">
        <f>AA357*AA358*AB359+AA358*AA359*AB357+AA357*AA359*AB358</f>
        <v>2.3504083154363517E-6</v>
      </c>
      <c r="I364" s="1">
        <f>AC359+2*L350-F359</f>
        <v>93.666666666666686</v>
      </c>
      <c r="J364" s="62" t="s">
        <v>59</v>
      </c>
      <c r="K364">
        <f>AB357*AA358*AA359*AA360+AB358*AA357*AA359*AA360*+AB359*AA357*AA358*AA360+AB360*AA357*AA358*AA359</f>
        <v>1.6859361841943732E-9</v>
      </c>
      <c r="L364" s="1">
        <f>AC360+3*L350-F360</f>
        <v>204.33333333333337</v>
      </c>
      <c r="M364" s="1">
        <f>B364*C364*AH357+E364*F364*AH358+H364*I364*AH359+K364*L364*AH360</f>
        <v>2.7866080576764238</v>
      </c>
      <c r="O364" s="1" t="s">
        <v>28</v>
      </c>
      <c r="P364" s="1">
        <f>2*H349</f>
        <v>5440</v>
      </c>
      <c r="Q364" s="1">
        <f t="shared" ref="Q364:Q366" si="38">(K358*(1-P358)*(1-U358)*(1-Z358))+(P358*(1-K358)*(1-U358)*(1-Z358))+(U358*(1-K358)*(1-P358)*(1-Z358))+(Z358*(1-K358)*(1-P358)*(1-U358))</f>
        <v>0.47164531059336612</v>
      </c>
      <c r="R364" s="1">
        <f t="shared" ref="R364:R366" si="39">Q364*(L$7*(J$5*K$5+L$5)+I$5)</f>
        <v>16623.138971863187</v>
      </c>
    </row>
    <row r="365" spans="1:34" ht="24.75" x14ac:dyDescent="0.25">
      <c r="A365" s="1"/>
      <c r="B365" s="1"/>
      <c r="C365" s="1"/>
      <c r="D365" s="62" t="s">
        <v>52</v>
      </c>
      <c r="E365" s="1">
        <f>AB357*AB358</f>
        <v>0.99898239818662371</v>
      </c>
      <c r="F365" s="59">
        <f>MAX(AC358-F358,0)</f>
        <v>56</v>
      </c>
      <c r="G365" s="62" t="s">
        <v>56</v>
      </c>
      <c r="H365" s="1">
        <f>AA357*AB358*AB359+AA358*AB357*AB359*+AA359*AB357*AB358</f>
        <v>4.1846560849961026E-6</v>
      </c>
      <c r="I365" s="1">
        <f>AC359+1*L350-F359</f>
        <v>81.666666666666686</v>
      </c>
      <c r="J365" s="62" t="s">
        <v>60</v>
      </c>
      <c r="K365" s="1">
        <f>AA357*AA358*AB359*AB360 + AA357*AA359*AB358*AB360 + AA357*AA360*AB358*AB359 + AA358*AA359*AB357*AB360 + AA358*AA360*AB357*AB359 + AA359*AA360*AB357*AB358</f>
        <v>4.7308249783460793E-6</v>
      </c>
      <c r="L365" s="1">
        <f>AC360+2*L350-F360</f>
        <v>192.33333333333337</v>
      </c>
      <c r="M365" s="1">
        <f>B365*C365*AH357+E365*F365*AH358+H365*I365*AH359+K365*L365*AH360</f>
        <v>2237.8105834133066</v>
      </c>
      <c r="O365" s="1" t="s">
        <v>29</v>
      </c>
      <c r="P365" s="1">
        <f>2*(F350*(J348*K348+L348)+H350)</f>
        <v>28200</v>
      </c>
      <c r="Q365" s="1">
        <f t="shared" si="38"/>
        <v>0.47509833067729496</v>
      </c>
      <c r="R365" s="1">
        <f t="shared" si="39"/>
        <v>16744.840664721261</v>
      </c>
    </row>
    <row r="366" spans="1:34" ht="24.75" x14ac:dyDescent="0.25">
      <c r="A366" s="1"/>
      <c r="B366" s="1"/>
      <c r="C366" s="1"/>
      <c r="D366" s="1"/>
      <c r="E366" s="1"/>
      <c r="F366" s="1"/>
      <c r="G366" s="62" t="s">
        <v>52</v>
      </c>
      <c r="H366" s="1">
        <f>AB357*AB358*AB359</f>
        <v>0.99667683666884921</v>
      </c>
      <c r="I366" s="63">
        <f>AC359-F359</f>
        <v>69.666666666666686</v>
      </c>
      <c r="J366" s="62" t="s">
        <v>56</v>
      </c>
      <c r="K366" s="1">
        <f>AA357*AB358*AB359*AB360+AA358*AB357*AB359*AB360+AA359*AB357*AB358*AB360+AA360*AB357*AB358*AB359</f>
        <v>4.0333721907079307E-3</v>
      </c>
      <c r="L366" s="1">
        <f>AC360+1*L350-F360</f>
        <v>180.33333333333337</v>
      </c>
      <c r="M366" s="1">
        <f>B366*C366*AH357+E366*F366*AH358+H366*I366*AH359+K366*L366*AH360</f>
        <v>5950.7205484062342</v>
      </c>
      <c r="O366" s="1" t="s">
        <v>30</v>
      </c>
      <c r="P366" s="1">
        <f>2*H351</f>
        <v>8640</v>
      </c>
      <c r="Q366" s="1">
        <f t="shared" si="38"/>
        <v>0.48211040136690014</v>
      </c>
      <c r="R366" s="1">
        <f t="shared" si="39"/>
        <v>16991.981096176394</v>
      </c>
    </row>
    <row r="367" spans="1:34" ht="30" x14ac:dyDescent="0.25">
      <c r="I367" s="84"/>
      <c r="J367" s="62" t="s">
        <v>52</v>
      </c>
      <c r="K367" s="85">
        <f>AB357*AB358*AB359*AB360</f>
        <v>0.99596189529395962</v>
      </c>
      <c r="L367" s="1">
        <f>AC360+0*L350-F360</f>
        <v>168.33333333333337</v>
      </c>
      <c r="M367" s="1">
        <f>B367*C367*AH357+E367*F367*AH358+H367*I367*AH359+K367*L367*AH360</f>
        <v>11232.790242423711</v>
      </c>
      <c r="O367" s="64" t="s">
        <v>65</v>
      </c>
      <c r="P367" s="65">
        <f>SUM(P363:P366)</f>
        <v>45920</v>
      </c>
      <c r="Q367" s="96" t="s">
        <v>108</v>
      </c>
      <c r="R367" s="97">
        <f>SUM(R363:R366)</f>
        <v>57193.778322769627</v>
      </c>
    </row>
    <row r="368" spans="1:34" x14ac:dyDescent="0.25">
      <c r="L368" s="176" t="s">
        <v>63</v>
      </c>
      <c r="M368" s="177">
        <f>SUM(M363:M367)</f>
        <v>19424.107988367396</v>
      </c>
    </row>
    <row r="369" spans="1:22" x14ac:dyDescent="0.25">
      <c r="L369" s="176"/>
      <c r="M369" s="177"/>
    </row>
    <row r="370" spans="1:22" x14ac:dyDescent="0.25">
      <c r="A370" s="178" t="s">
        <v>90</v>
      </c>
      <c r="B370" s="178"/>
      <c r="C370" s="178"/>
      <c r="D370" s="178"/>
      <c r="E370" s="178"/>
      <c r="F370" s="178"/>
      <c r="G370" s="178"/>
      <c r="H370" s="178"/>
      <c r="I370" s="178"/>
      <c r="J370" s="178"/>
      <c r="K370" s="178"/>
      <c r="L370" s="178"/>
      <c r="M370" s="178"/>
      <c r="N370" s="178"/>
    </row>
    <row r="371" spans="1:22" ht="15.75" x14ac:dyDescent="0.25">
      <c r="A371" s="87" t="s">
        <v>77</v>
      </c>
      <c r="B371" s="62" t="s">
        <v>49</v>
      </c>
      <c r="C371" s="90" t="s">
        <v>78</v>
      </c>
      <c r="D371" s="62" t="s">
        <v>88</v>
      </c>
      <c r="E371" s="87" t="s">
        <v>75</v>
      </c>
      <c r="F371" s="62" t="s">
        <v>57</v>
      </c>
      <c r="G371" s="90" t="s">
        <v>87</v>
      </c>
      <c r="H371" s="62" t="s">
        <v>88</v>
      </c>
      <c r="I371" s="87" t="s">
        <v>86</v>
      </c>
      <c r="J371" s="62" t="s">
        <v>61</v>
      </c>
      <c r="K371" s="90" t="s">
        <v>103</v>
      </c>
      <c r="L371" s="62" t="s">
        <v>88</v>
      </c>
      <c r="M371" s="87" t="s">
        <v>76</v>
      </c>
      <c r="N371" s="62" t="s">
        <v>84</v>
      </c>
      <c r="O371" s="90" t="s">
        <v>102</v>
      </c>
      <c r="P371" s="62" t="s">
        <v>88</v>
      </c>
    </row>
    <row r="372" spans="1:22" ht="24.75" x14ac:dyDescent="0.25">
      <c r="A372" s="62" t="s">
        <v>51</v>
      </c>
      <c r="B372" s="86">
        <v>1.8543515323034395E-6</v>
      </c>
      <c r="C372" s="86">
        <f>AC357+1*L350</f>
        <v>67</v>
      </c>
      <c r="D372" s="86">
        <f>MAX(B372*1.5*((C372-F357)*500/2),0)</f>
        <v>0</v>
      </c>
      <c r="E372" s="62" t="s">
        <v>55</v>
      </c>
      <c r="F372" s="86">
        <v>1.8835563550791993E-9</v>
      </c>
      <c r="G372" s="86">
        <f>AC358+2*L350</f>
        <v>156</v>
      </c>
      <c r="H372" s="86">
        <f>F372*1.5*((G372-F358)*500/2+(G372-F359)*500+(G372-F360)*500)</f>
        <v>1.6528207015819975E-4</v>
      </c>
      <c r="I372" s="62" t="s">
        <v>59</v>
      </c>
      <c r="J372" s="86">
        <v>4.3470786439412075E-12</v>
      </c>
      <c r="K372" s="86">
        <f>AC359+3*L350</f>
        <v>245.66666666666669</v>
      </c>
      <c r="L372" s="86">
        <f>J372*1.5*((K372-G372)*500/2+(K372-G372)*500)</f>
        <v>4.3851155820756941E-7</v>
      </c>
      <c r="M372" s="62" t="s">
        <v>83</v>
      </c>
      <c r="N372" s="86">
        <v>3.1182688993156299E-15</v>
      </c>
      <c r="O372" s="86">
        <f>AC360+4*L350</f>
        <v>311.33333333333337</v>
      </c>
      <c r="P372" s="86">
        <f>N372*1.5*((O372-K372)*500/2)</f>
        <v>7.6787371645647415E-11</v>
      </c>
    </row>
    <row r="373" spans="1:22" ht="24.75" x14ac:dyDescent="0.25">
      <c r="A373" s="62" t="s">
        <v>52</v>
      </c>
      <c r="B373" s="86">
        <v>0.99999814564846767</v>
      </c>
      <c r="C373" s="88">
        <f>AC357</f>
        <v>55</v>
      </c>
      <c r="D373" s="86">
        <f>MAX(B373*1.5*((C373-F357)*500/2),0)</f>
        <v>0</v>
      </c>
      <c r="E373" s="62" t="s">
        <v>56</v>
      </c>
      <c r="F373" s="86">
        <v>1.0175999298198595E-3</v>
      </c>
      <c r="G373" s="86">
        <f>AC358+1*L350</f>
        <v>144</v>
      </c>
      <c r="H373" s="86">
        <f>F373*1.5*((G373-F358)*500/2+(G373-F359)*500+(G373-F360)*500)</f>
        <v>66.398395420745828</v>
      </c>
      <c r="I373" s="62" t="s">
        <v>60</v>
      </c>
      <c r="J373" s="86">
        <v>2.3504083154363517E-6</v>
      </c>
      <c r="K373" s="86">
        <f>AC359+2*L350</f>
        <v>233.66666666666669</v>
      </c>
      <c r="L373" s="86">
        <f>J373*1.5*((K373-G373)*500/2+(K373-G373)*500)</f>
        <v>0.23709743881964204</v>
      </c>
      <c r="M373" s="62" t="s">
        <v>59</v>
      </c>
      <c r="N373" s="86">
        <v>1.6859361841943732E-9</v>
      </c>
      <c r="O373" s="86">
        <f>AC360+3*L350</f>
        <v>299.33333333333337</v>
      </c>
      <c r="P373" s="86">
        <f>N373*1.5*((O373-K373)*500/2)</f>
        <v>4.1516178535786449E-5</v>
      </c>
    </row>
    <row r="374" spans="1:22" x14ac:dyDescent="0.25">
      <c r="A374" s="86"/>
      <c r="B374" s="86"/>
      <c r="C374" s="89" t="s">
        <v>89</v>
      </c>
      <c r="D374" s="89">
        <f>SUM(D372:D373)</f>
        <v>0</v>
      </c>
      <c r="E374" s="62" t="s">
        <v>52</v>
      </c>
      <c r="F374" s="86">
        <v>0.99898239818662371</v>
      </c>
      <c r="G374" s="86">
        <f>AC358+0*L350</f>
        <v>132</v>
      </c>
      <c r="H374" s="86">
        <f>F374*1.5*((G374-F358)*500/2+(G374-F360)*500)</f>
        <v>48700.391911597901</v>
      </c>
      <c r="I374" s="62" t="s">
        <v>56</v>
      </c>
      <c r="J374" s="86">
        <v>4.1846560849961026E-6</v>
      </c>
      <c r="K374" s="86">
        <f>AC359+1*L350</f>
        <v>221.66666666666669</v>
      </c>
      <c r="L374" s="86">
        <f>J374*1.5*((K374-F359)*500/2+(K374-G374)*500)</f>
        <v>0.40957321431899363</v>
      </c>
      <c r="M374" s="62" t="s">
        <v>60</v>
      </c>
      <c r="N374" s="86">
        <v>4.7308249783460793E-6</v>
      </c>
      <c r="O374" s="86">
        <f>AC360+2*L350</f>
        <v>287.33333333333337</v>
      </c>
      <c r="P374" s="86">
        <f>N374*1.5*((O374-K374)*500/2)</f>
        <v>0.11649656509177224</v>
      </c>
    </row>
    <row r="375" spans="1:22" x14ac:dyDescent="0.25">
      <c r="A375" s="86"/>
      <c r="B375" s="86"/>
      <c r="C375" s="86"/>
      <c r="D375" s="86"/>
      <c r="E375" s="86"/>
      <c r="F375" s="86"/>
      <c r="G375" s="89" t="s">
        <v>79</v>
      </c>
      <c r="H375" s="89">
        <f>SUM(H372:H374)</f>
        <v>48766.790472300716</v>
      </c>
      <c r="I375" s="62" t="s">
        <v>52</v>
      </c>
      <c r="J375" s="86">
        <v>0.99667683666884921</v>
      </c>
      <c r="K375" s="86">
        <f>AC359+0*L350</f>
        <v>209.66666666666669</v>
      </c>
      <c r="L375" s="86">
        <f>J375*1.5*((K375-F359)*500/2+(K375-G374)*500)</f>
        <v>84094.608093934177</v>
      </c>
      <c r="M375" s="62" t="s">
        <v>56</v>
      </c>
      <c r="N375" s="86">
        <v>4.0333721907079307E-3</v>
      </c>
      <c r="O375" s="86">
        <f>AC360+1*L350</f>
        <v>275.33333333333337</v>
      </c>
      <c r="P375" s="86">
        <f>N375*1.5*((O375-K375)*500/2)</f>
        <v>99.321790196182818</v>
      </c>
    </row>
    <row r="376" spans="1:22" x14ac:dyDescent="0.25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9" t="s">
        <v>79</v>
      </c>
      <c r="L376" s="89">
        <f>SUM(L372:L375)</f>
        <v>84095.25476502582</v>
      </c>
      <c r="M376" s="62" t="s">
        <v>52</v>
      </c>
      <c r="N376" s="86">
        <v>0.99596189529395962</v>
      </c>
      <c r="O376" s="86">
        <f>AC360+0*L350</f>
        <v>263.33333333333337</v>
      </c>
      <c r="P376" s="86">
        <f>N376*1.5*((O376-K375)*500/2)</f>
        <v>20043.733142790945</v>
      </c>
      <c r="Q376" s="179" t="s">
        <v>80</v>
      </c>
      <c r="R376" s="179"/>
      <c r="S376" s="180">
        <f>D374+H375+L376+P377</f>
        <v>153005.21670839499</v>
      </c>
      <c r="T376" s="180"/>
    </row>
    <row r="377" spans="1:22" x14ac:dyDescent="0.25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9" t="s">
        <v>79</v>
      </c>
      <c r="P377" s="89">
        <f>SUM(P372:P376)</f>
        <v>20143.171471068476</v>
      </c>
      <c r="Q377" s="179"/>
      <c r="R377" s="179"/>
      <c r="S377" s="180"/>
      <c r="T377" s="180"/>
    </row>
    <row r="378" spans="1:22" x14ac:dyDescent="0.25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</row>
    <row r="379" spans="1:22" x14ac:dyDescent="0.25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</row>
    <row r="380" spans="1:22" x14ac:dyDescent="0.25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</row>
    <row r="381" spans="1:22" ht="24.75" thickBot="1" x14ac:dyDescent="0.3">
      <c r="O381" s="131" t="s">
        <v>81</v>
      </c>
      <c r="P381" s="131"/>
      <c r="Q381" s="131">
        <f>(R367+P367+M368+S376)/AC360</f>
        <v>1046.3662139982225</v>
      </c>
      <c r="R381" s="131"/>
    </row>
    <row r="382" spans="1:22" x14ac:dyDescent="0.25">
      <c r="A382" s="181" t="s">
        <v>115</v>
      </c>
      <c r="B382" s="182"/>
    </row>
    <row r="383" spans="1:22" ht="15.75" thickBot="1" x14ac:dyDescent="0.3">
      <c r="A383" s="183"/>
      <c r="B383" s="184"/>
    </row>
    <row r="384" spans="1:22" ht="21" x14ac:dyDescent="0.35">
      <c r="A384" s="185" t="s">
        <v>14</v>
      </c>
      <c r="B384" s="185"/>
      <c r="C384" s="165"/>
      <c r="D384" s="165"/>
      <c r="E384" s="165"/>
      <c r="F384" s="165"/>
      <c r="G384" s="165"/>
      <c r="H384" s="165"/>
      <c r="I384" s="165"/>
      <c r="J384" s="165"/>
      <c r="K384" s="165"/>
      <c r="L384" s="165"/>
      <c r="M384" s="165"/>
      <c r="O384" s="166" t="s">
        <v>72</v>
      </c>
      <c r="P384" s="166"/>
      <c r="Q384" s="166"/>
      <c r="R384" s="166"/>
      <c r="S384" s="166"/>
      <c r="T384" s="166"/>
      <c r="U384" s="166"/>
      <c r="V384" s="166"/>
    </row>
    <row r="385" spans="1:34" ht="36" x14ac:dyDescent="0.25">
      <c r="A385" s="4" t="s">
        <v>15</v>
      </c>
      <c r="B385" s="4" t="s">
        <v>16</v>
      </c>
      <c r="C385" s="4" t="s">
        <v>31</v>
      </c>
      <c r="D385" s="6" t="s">
        <v>17</v>
      </c>
      <c r="E385" s="6" t="s">
        <v>18</v>
      </c>
      <c r="F385" s="6" t="s">
        <v>19</v>
      </c>
      <c r="G385" s="6" t="s">
        <v>20</v>
      </c>
      <c r="H385" s="6" t="s">
        <v>21</v>
      </c>
      <c r="I385" s="6" t="s">
        <v>22</v>
      </c>
      <c r="J385" s="6" t="s">
        <v>23</v>
      </c>
      <c r="K385" s="6" t="s">
        <v>24</v>
      </c>
      <c r="L385" s="6" t="s">
        <v>25</v>
      </c>
      <c r="M385" s="6" t="s">
        <v>26</v>
      </c>
      <c r="N385" s="8"/>
      <c r="O385" s="167" t="s">
        <v>32</v>
      </c>
      <c r="P385" s="167" t="s">
        <v>35</v>
      </c>
      <c r="Q385" s="167" t="s">
        <v>66</v>
      </c>
      <c r="R385" s="99" t="s">
        <v>67</v>
      </c>
      <c r="S385" s="99" t="s">
        <v>68</v>
      </c>
      <c r="T385" s="167" t="s">
        <v>69</v>
      </c>
      <c r="U385" s="71" t="s">
        <v>33</v>
      </c>
      <c r="V385" s="99" t="s">
        <v>70</v>
      </c>
    </row>
    <row r="386" spans="1:34" x14ac:dyDescent="0.25">
      <c r="A386" s="3" t="s">
        <v>27</v>
      </c>
      <c r="B386" s="3">
        <v>0</v>
      </c>
      <c r="C386" s="3">
        <v>0.3</v>
      </c>
      <c r="D386" s="3">
        <v>243</v>
      </c>
      <c r="E386" s="3">
        <v>1.73</v>
      </c>
      <c r="F386" s="3">
        <v>5</v>
      </c>
      <c r="G386" s="169">
        <v>12</v>
      </c>
      <c r="H386" s="3">
        <v>1820</v>
      </c>
      <c r="I386" s="169">
        <v>19645</v>
      </c>
      <c r="J386" s="3">
        <v>20</v>
      </c>
      <c r="K386" s="3">
        <v>40</v>
      </c>
      <c r="L386" s="3">
        <v>500</v>
      </c>
      <c r="M386" s="3">
        <v>1000</v>
      </c>
      <c r="O386" s="168"/>
      <c r="P386" s="168"/>
      <c r="Q386" s="168"/>
      <c r="R386" s="72" t="s">
        <v>71</v>
      </c>
      <c r="S386" s="72" t="s">
        <v>71</v>
      </c>
      <c r="T386" s="168"/>
      <c r="U386" s="73">
        <v>500</v>
      </c>
      <c r="V386" s="3">
        <v>1.5</v>
      </c>
    </row>
    <row r="387" spans="1:34" x14ac:dyDescent="0.25">
      <c r="A387" s="3" t="s">
        <v>28</v>
      </c>
      <c r="B387" s="3">
        <v>0</v>
      </c>
      <c r="C387" s="3">
        <v>0.3</v>
      </c>
      <c r="D387" s="3">
        <v>254</v>
      </c>
      <c r="E387" s="3">
        <v>1.88</v>
      </c>
      <c r="F387" s="3">
        <v>3</v>
      </c>
      <c r="G387" s="170"/>
      <c r="H387" s="3">
        <v>2720</v>
      </c>
      <c r="I387" s="170"/>
      <c r="J387" s="5"/>
      <c r="K387" s="5"/>
      <c r="L387" s="5"/>
      <c r="M387" s="5"/>
      <c r="O387" s="74">
        <v>1</v>
      </c>
      <c r="P387" s="74">
        <v>106</v>
      </c>
      <c r="Q387" s="74">
        <v>110</v>
      </c>
      <c r="R387" s="74">
        <v>6</v>
      </c>
      <c r="S387" s="74">
        <v>5</v>
      </c>
      <c r="T387" s="74">
        <f>R387*$U$5/60+S387</f>
        <v>55</v>
      </c>
      <c r="U387" s="75"/>
    </row>
    <row r="388" spans="1:34" x14ac:dyDescent="0.25">
      <c r="A388" s="3" t="s">
        <v>29</v>
      </c>
      <c r="B388" s="3">
        <v>0</v>
      </c>
      <c r="C388" s="3">
        <v>0.3</v>
      </c>
      <c r="D388" s="3">
        <v>143</v>
      </c>
      <c r="E388" s="3">
        <v>2.4300000000000002</v>
      </c>
      <c r="F388" s="3">
        <v>8</v>
      </c>
      <c r="G388" s="170"/>
      <c r="H388" s="3">
        <v>3700</v>
      </c>
      <c r="I388" s="170"/>
      <c r="J388" s="5"/>
      <c r="K388" s="140" t="s">
        <v>73</v>
      </c>
      <c r="L388" s="141">
        <v>12</v>
      </c>
      <c r="M388" s="140" t="s">
        <v>74</v>
      </c>
      <c r="N388" s="141">
        <v>19645</v>
      </c>
      <c r="O388" s="74">
        <v>2</v>
      </c>
      <c r="P388" s="74">
        <v>76</v>
      </c>
      <c r="Q388" s="74">
        <v>40</v>
      </c>
      <c r="R388" s="74">
        <v>9</v>
      </c>
      <c r="S388" s="74">
        <v>2</v>
      </c>
      <c r="T388" s="74">
        <f t="shared" ref="T388:T390" si="40">R388*$U$5/60+S388</f>
        <v>77</v>
      </c>
      <c r="U388" s="75"/>
    </row>
    <row r="389" spans="1:34" x14ac:dyDescent="0.25">
      <c r="A389" s="3" t="s">
        <v>30</v>
      </c>
      <c r="B389" s="3">
        <v>0</v>
      </c>
      <c r="C389" s="3">
        <v>0.3</v>
      </c>
      <c r="D389" s="3">
        <v>449</v>
      </c>
      <c r="E389" s="3">
        <v>2.5299999999999998</v>
      </c>
      <c r="F389" s="3">
        <v>4</v>
      </c>
      <c r="G389" s="171"/>
      <c r="H389" s="3">
        <v>4320</v>
      </c>
      <c r="I389" s="171"/>
      <c r="J389" s="5"/>
      <c r="K389" s="140"/>
      <c r="L389" s="141"/>
      <c r="M389" s="140"/>
      <c r="N389" s="141"/>
      <c r="O389" s="74">
        <v>3</v>
      </c>
      <c r="P389" s="74">
        <v>95</v>
      </c>
      <c r="Q389" s="74">
        <v>67</v>
      </c>
      <c r="R389" s="74">
        <v>5</v>
      </c>
      <c r="S389" s="74">
        <v>4</v>
      </c>
      <c r="T389" s="74">
        <f t="shared" si="40"/>
        <v>45.666666666666664</v>
      </c>
      <c r="U389" s="75"/>
    </row>
    <row r="390" spans="1:34" ht="15.75" thickBo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O390" s="74">
        <v>4</v>
      </c>
      <c r="P390" s="74">
        <v>140</v>
      </c>
      <c r="Q390" s="94">
        <v>85</v>
      </c>
      <c r="R390" s="94">
        <v>8</v>
      </c>
      <c r="S390" s="94">
        <v>3</v>
      </c>
      <c r="T390" s="74">
        <f t="shared" si="40"/>
        <v>69.666666666666671</v>
      </c>
    </row>
    <row r="391" spans="1:34" ht="15" customHeight="1" x14ac:dyDescent="0.25">
      <c r="A391" s="142" t="s">
        <v>100</v>
      </c>
      <c r="B391" s="144" t="s">
        <v>129</v>
      </c>
      <c r="C391" s="144"/>
      <c r="D391" s="144"/>
      <c r="E391" s="144"/>
      <c r="F391" s="20" t="s">
        <v>27</v>
      </c>
      <c r="G391" s="20" t="s">
        <v>28</v>
      </c>
      <c r="H391" s="20" t="s">
        <v>29</v>
      </c>
      <c r="I391" s="20" t="s">
        <v>30</v>
      </c>
    </row>
    <row r="392" spans="1:34" ht="15.75" customHeight="1" thickBot="1" x14ac:dyDescent="0.3">
      <c r="A392" s="143"/>
      <c r="B392" s="145"/>
      <c r="C392" s="145"/>
      <c r="D392" s="145"/>
      <c r="E392" s="145"/>
      <c r="F392" s="20">
        <v>91</v>
      </c>
      <c r="G392" s="26">
        <v>91</v>
      </c>
      <c r="H392" s="26">
        <v>91</v>
      </c>
      <c r="I392" s="26">
        <v>91</v>
      </c>
    </row>
    <row r="393" spans="1:34" ht="15.75" customHeight="1" thickBot="1" x14ac:dyDescent="0.3">
      <c r="A393" s="143"/>
      <c r="B393" s="145"/>
      <c r="C393" s="145"/>
      <c r="D393" s="145"/>
      <c r="E393" s="145"/>
      <c r="F393" s="7"/>
      <c r="G393" s="146" t="s">
        <v>27</v>
      </c>
      <c r="H393" s="147"/>
      <c r="I393" s="147"/>
      <c r="J393" s="147"/>
      <c r="K393" s="148"/>
      <c r="L393" s="149" t="s">
        <v>28</v>
      </c>
      <c r="M393" s="150"/>
      <c r="N393" s="150"/>
      <c r="O393" s="150"/>
      <c r="P393" s="151"/>
      <c r="Q393" s="152" t="s">
        <v>29</v>
      </c>
      <c r="R393" s="153"/>
      <c r="S393" s="153"/>
      <c r="T393" s="153"/>
      <c r="U393" s="154"/>
      <c r="V393" s="155" t="s">
        <v>30</v>
      </c>
      <c r="W393" s="156"/>
      <c r="X393" s="156"/>
      <c r="Y393" s="156"/>
      <c r="Z393" s="157"/>
      <c r="AA393" s="158" t="s">
        <v>42</v>
      </c>
      <c r="AB393" s="159"/>
      <c r="AC393" s="160" t="s">
        <v>44</v>
      </c>
      <c r="AD393" s="162" t="s">
        <v>47</v>
      </c>
      <c r="AE393" s="163"/>
      <c r="AF393" s="163"/>
      <c r="AG393" s="164"/>
      <c r="AH393" s="138" t="s">
        <v>62</v>
      </c>
    </row>
    <row r="394" spans="1:34" ht="36.75" x14ac:dyDescent="0.25">
      <c r="A394" s="21" t="s">
        <v>32</v>
      </c>
      <c r="B394" s="22" t="s">
        <v>37</v>
      </c>
      <c r="C394" s="23" t="s">
        <v>33</v>
      </c>
      <c r="D394" s="22" t="s">
        <v>38</v>
      </c>
      <c r="E394" s="22" t="s">
        <v>34</v>
      </c>
      <c r="F394" s="25" t="s">
        <v>35</v>
      </c>
      <c r="G394" s="27" t="s">
        <v>39</v>
      </c>
      <c r="H394" s="10" t="s">
        <v>40</v>
      </c>
      <c r="I394" s="10" t="s">
        <v>45</v>
      </c>
      <c r="J394" s="10" t="s">
        <v>46</v>
      </c>
      <c r="K394" s="28" t="s">
        <v>41</v>
      </c>
      <c r="L394" s="30" t="s">
        <v>39</v>
      </c>
      <c r="M394" s="13" t="s">
        <v>40</v>
      </c>
      <c r="N394" s="13" t="s">
        <v>45</v>
      </c>
      <c r="O394" s="13" t="s">
        <v>46</v>
      </c>
      <c r="P394" s="31" t="s">
        <v>41</v>
      </c>
      <c r="Q394" s="33" t="s">
        <v>39</v>
      </c>
      <c r="R394" s="12" t="s">
        <v>40</v>
      </c>
      <c r="S394" s="12" t="s">
        <v>45</v>
      </c>
      <c r="T394" s="12" t="s">
        <v>46</v>
      </c>
      <c r="U394" s="34" t="s">
        <v>41</v>
      </c>
      <c r="V394" s="36" t="s">
        <v>39</v>
      </c>
      <c r="W394" s="11" t="s">
        <v>40</v>
      </c>
      <c r="X394" s="11" t="s">
        <v>45</v>
      </c>
      <c r="Y394" s="11" t="s">
        <v>46</v>
      </c>
      <c r="Z394" s="37" t="s">
        <v>41</v>
      </c>
      <c r="AA394" s="39" t="s">
        <v>41</v>
      </c>
      <c r="AB394" s="40" t="s">
        <v>43</v>
      </c>
      <c r="AC394" s="161"/>
      <c r="AD394" s="43" t="s">
        <v>27</v>
      </c>
      <c r="AE394" s="1" t="s">
        <v>28</v>
      </c>
      <c r="AF394" s="1" t="s">
        <v>29</v>
      </c>
      <c r="AG394" s="1" t="s">
        <v>30</v>
      </c>
      <c r="AH394" s="139"/>
    </row>
    <row r="395" spans="1:34" x14ac:dyDescent="0.25">
      <c r="A395" s="24">
        <v>1</v>
      </c>
      <c r="B395" s="9">
        <v>6</v>
      </c>
      <c r="C395" s="9">
        <v>500</v>
      </c>
      <c r="D395" s="9">
        <v>5</v>
      </c>
      <c r="E395" s="48">
        <f>B395*C395/60+D395</f>
        <v>55</v>
      </c>
      <c r="F395" s="100">
        <v>106</v>
      </c>
      <c r="G395" s="49">
        <f>B$5*(1-AD395*C$5)</f>
        <v>0</v>
      </c>
      <c r="H395" s="50">
        <f>G395+E395</f>
        <v>55</v>
      </c>
      <c r="I395" s="15">
        <f>(H395/D$5)^E$5</f>
        <v>7.6511831764011648E-2</v>
      </c>
      <c r="J395" s="15">
        <f>(G395/D$5)^E$5</f>
        <v>0</v>
      </c>
      <c r="K395" s="29">
        <f>1-EXP(J395-I395)</f>
        <v>7.3658046035411151E-2</v>
      </c>
      <c r="L395" s="51">
        <f>B$6*(1-AE395*C$6)</f>
        <v>0</v>
      </c>
      <c r="M395" s="52">
        <f>L395+E395</f>
        <v>55</v>
      </c>
      <c r="N395" s="17">
        <f>(M395/D$6)^E$6</f>
        <v>5.633709759436846E-2</v>
      </c>
      <c r="O395" s="17">
        <f>(L395/D$6)^E$6</f>
        <v>0</v>
      </c>
      <c r="P395" s="32">
        <f>1-EXP(O395-N395)</f>
        <v>5.4779549360660096E-2</v>
      </c>
      <c r="Q395" s="53">
        <f>B$7*(1-AF395*C$7)</f>
        <v>0</v>
      </c>
      <c r="R395" s="54">
        <f>Q395+E395</f>
        <v>55</v>
      </c>
      <c r="S395" s="16">
        <f>(R395/D$7)^E$7</f>
        <v>9.8087748172662498E-2</v>
      </c>
      <c r="T395" s="16">
        <f>(Q395/D$7)^E$7</f>
        <v>0</v>
      </c>
      <c r="U395" s="35">
        <f>1-EXP(T395-S395)</f>
        <v>9.3430649540250821E-2</v>
      </c>
      <c r="V395" s="55">
        <f>B$8*(1-AG395*C$8)</f>
        <v>0</v>
      </c>
      <c r="W395" s="56">
        <f>V395+E395</f>
        <v>55</v>
      </c>
      <c r="X395" s="18">
        <f>(W395/D$8)^E$8</f>
        <v>4.9309927237744132E-3</v>
      </c>
      <c r="Y395" s="18">
        <f>(V395/D$8)^E$8</f>
        <v>0</v>
      </c>
      <c r="Z395" s="38">
        <f>1-EXP(Y395-X395)</f>
        <v>4.9188553371368737E-3</v>
      </c>
      <c r="AA395" s="41">
        <f>K395*P395*U395*Z395</f>
        <v>1.8543515323034395E-6</v>
      </c>
      <c r="AB395" s="42">
        <f>1-AA395</f>
        <v>0.99999814564846767</v>
      </c>
      <c r="AC395" s="47">
        <f>(AD395*F$5+AE395*F$6+AF395*F$7+AG395*F$8)+E395</f>
        <v>55</v>
      </c>
      <c r="AD395" s="43">
        <v>0</v>
      </c>
      <c r="AE395" s="1">
        <v>0</v>
      </c>
      <c r="AF395" s="1">
        <v>0</v>
      </c>
      <c r="AG395" s="1">
        <v>0</v>
      </c>
      <c r="AH395" s="74">
        <v>110</v>
      </c>
    </row>
    <row r="396" spans="1:34" x14ac:dyDescent="0.25">
      <c r="A396" s="76">
        <v>4</v>
      </c>
      <c r="B396" s="58">
        <v>8</v>
      </c>
      <c r="C396" s="9">
        <v>500</v>
      </c>
      <c r="D396" s="58">
        <v>3</v>
      </c>
      <c r="E396" s="48">
        <f t="shared" ref="E396:E398" si="41">B396*C396/60+D396</f>
        <v>69.666666666666671</v>
      </c>
      <c r="F396" s="100">
        <v>140</v>
      </c>
      <c r="G396" s="49">
        <f>H395*(1-AD396*C$5)</f>
        <v>55</v>
      </c>
      <c r="H396" s="50">
        <f>G396+E396</f>
        <v>124.66666666666667</v>
      </c>
      <c r="I396" s="15">
        <f>(H396/D$5)^E$5</f>
        <v>0.31517317577772647</v>
      </c>
      <c r="J396" s="15">
        <f>(G396/D$5)^E$5</f>
        <v>7.6511831764011648E-2</v>
      </c>
      <c r="K396" s="29">
        <f>1-EXP(J396-I396)</f>
        <v>0.21231840970513827</v>
      </c>
      <c r="L396" s="51">
        <f>M395*(1-AE396*C$6)</f>
        <v>55</v>
      </c>
      <c r="M396" s="52">
        <f>L396+E396</f>
        <v>124.66666666666667</v>
      </c>
      <c r="N396" s="17">
        <f>(M396/D$6)^E$6</f>
        <v>0.26237549202961352</v>
      </c>
      <c r="O396" s="17">
        <f>(L396/D$6)^E$6</f>
        <v>5.633709759436846E-2</v>
      </c>
      <c r="P396" s="32">
        <f>1-EXP(O396-N396)</f>
        <v>0.18619816977858561</v>
      </c>
      <c r="Q396" s="53">
        <f>R395*(1-AF396*C$7)</f>
        <v>55</v>
      </c>
      <c r="R396" s="54">
        <f>Q396+E396</f>
        <v>124.66666666666667</v>
      </c>
      <c r="S396" s="16">
        <f>(R396/D$7)^E$7</f>
        <v>0.71648445673009076</v>
      </c>
      <c r="T396" s="16">
        <f>(Q396/D$7)^E$7</f>
        <v>9.8087748172662498E-2</v>
      </c>
      <c r="U396" s="35">
        <f>1-EXP(T396-S396)</f>
        <v>0.46119238891751968</v>
      </c>
      <c r="V396" s="55">
        <f>W395*(1-AG396*C$8)</f>
        <v>55</v>
      </c>
      <c r="W396" s="56">
        <f>V396+E396</f>
        <v>124.66666666666667</v>
      </c>
      <c r="X396" s="18">
        <f>(W396/D$8)^E$8</f>
        <v>3.9089951931753103E-2</v>
      </c>
      <c r="Y396" s="18">
        <f>(V396/D$8)^E$8</f>
        <v>4.9309927237744132E-3</v>
      </c>
      <c r="Z396" s="38">
        <f>1-EXP(Y396-X396)</f>
        <v>3.3582128592293481E-2</v>
      </c>
      <c r="AA396" s="41">
        <f>K396*P396*U396*Z396</f>
        <v>6.1228470695588017E-4</v>
      </c>
      <c r="AB396" s="42">
        <f>1-AA396</f>
        <v>0.99938771529304415</v>
      </c>
      <c r="AC396" s="47">
        <f>AF396*F$7+E396+AC395</f>
        <v>124.66666666666667</v>
      </c>
      <c r="AD396" s="43">
        <v>0</v>
      </c>
      <c r="AE396" s="1">
        <v>0</v>
      </c>
      <c r="AF396" s="1">
        <v>0</v>
      </c>
      <c r="AG396" s="1">
        <v>0</v>
      </c>
      <c r="AH396" s="74">
        <v>85</v>
      </c>
    </row>
    <row r="397" spans="1:34" x14ac:dyDescent="0.25">
      <c r="A397" s="24">
        <v>2</v>
      </c>
      <c r="B397" s="9">
        <v>9</v>
      </c>
      <c r="C397" s="58">
        <v>500</v>
      </c>
      <c r="D397" s="58">
        <v>2</v>
      </c>
      <c r="E397" s="48">
        <f t="shared" si="41"/>
        <v>77</v>
      </c>
      <c r="F397" s="100">
        <v>76</v>
      </c>
      <c r="G397" s="68">
        <f>H396*(1-AD397*C$5)</f>
        <v>87.266666666666666</v>
      </c>
      <c r="H397" s="69">
        <f>G397+E397</f>
        <v>164.26666666666665</v>
      </c>
      <c r="I397" s="70">
        <f>(H397/D$5)^E$5</f>
        <v>0.50792745169025055</v>
      </c>
      <c r="J397" s="70">
        <f>(G397/D$5)^E$5</f>
        <v>0.17004695403506842</v>
      </c>
      <c r="K397" s="29">
        <f>1-EXP(J397-I397)</f>
        <v>0.28671947849979462</v>
      </c>
      <c r="L397" s="51">
        <f>M396*(1-AE397*C$6)</f>
        <v>87.266666666666666</v>
      </c>
      <c r="M397" s="52">
        <f>L397+E397</f>
        <v>164.26666666666665</v>
      </c>
      <c r="N397" s="17">
        <f>(M397/D$6)^E$6</f>
        <v>0.4407025549284625</v>
      </c>
      <c r="O397" s="17">
        <f>(L397/D$6)^E$6</f>
        <v>0.13418611561976262</v>
      </c>
      <c r="P397" s="32">
        <f>1-EXP(O397-N397)</f>
        <v>0.26399358135681483</v>
      </c>
      <c r="Q397" s="53">
        <f>R396*(1-AF397*C$7)</f>
        <v>87.266666666666666</v>
      </c>
      <c r="R397" s="54">
        <f>Q397+E397</f>
        <v>164.26666666666665</v>
      </c>
      <c r="S397" s="16">
        <f>(R397/D$7)^E$7</f>
        <v>1.400614373673216</v>
      </c>
      <c r="T397" s="16">
        <f>(Q397/D$7)^E$7</f>
        <v>0.30115842040528412</v>
      </c>
      <c r="U397" s="35">
        <f>1-EXP(T397-S397)</f>
        <v>0.66694776960496838</v>
      </c>
      <c r="V397" s="55">
        <f>W396*(1-AG397*C$8)</f>
        <v>87.266666666666666</v>
      </c>
      <c r="W397" s="56">
        <f>V397+E397</f>
        <v>164.26666666666665</v>
      </c>
      <c r="X397" s="18">
        <f>(W397/D$8)^E$8</f>
        <v>7.8551928495072421E-2</v>
      </c>
      <c r="Y397" s="18">
        <f>(V397/D$8)^E$8</f>
        <v>1.5854887968448601E-2</v>
      </c>
      <c r="Z397" s="38">
        <f>1-EXP(Y397-X397)</f>
        <v>6.0772021395994358E-2</v>
      </c>
      <c r="AA397" s="41">
        <f>K397*P397*U397*Z397</f>
        <v>3.067934423290238E-3</v>
      </c>
      <c r="AB397" s="42">
        <f>1-AA397</f>
        <v>0.99693206557670977</v>
      </c>
      <c r="AC397" s="47">
        <f>(AF397*F$7)+E397+AC396</f>
        <v>209.66666666666669</v>
      </c>
      <c r="AD397" s="77">
        <v>1</v>
      </c>
      <c r="AE397" s="78">
        <v>1</v>
      </c>
      <c r="AF397" s="78">
        <v>1</v>
      </c>
      <c r="AG397" s="78">
        <v>1</v>
      </c>
      <c r="AH397" s="74">
        <v>40</v>
      </c>
    </row>
    <row r="398" spans="1:34" ht="15.75" thickBot="1" x14ac:dyDescent="0.3">
      <c r="A398" s="57">
        <v>3</v>
      </c>
      <c r="B398" s="58">
        <v>5</v>
      </c>
      <c r="C398" s="58">
        <v>500</v>
      </c>
      <c r="D398" s="9">
        <v>4</v>
      </c>
      <c r="E398" s="48">
        <f t="shared" si="41"/>
        <v>45.666666666666664</v>
      </c>
      <c r="F398" s="100">
        <v>95</v>
      </c>
      <c r="G398" s="68">
        <f>H397*(1-AD398*C$5)</f>
        <v>114.98666666666665</v>
      </c>
      <c r="H398" s="69">
        <f>G398+E398</f>
        <v>160.65333333333331</v>
      </c>
      <c r="I398" s="70">
        <f>(H398/D$5)^E$5</f>
        <v>0.48875408312881768</v>
      </c>
      <c r="J398" s="70">
        <f>(G398/D$5)^E$5</f>
        <v>0.27404462901257293</v>
      </c>
      <c r="K398" s="29">
        <f>1-EXP(J398-I398)</f>
        <v>0.19322418848098599</v>
      </c>
      <c r="L398" s="51">
        <f>M397*(1-AE398*C$6)</f>
        <v>114.98666666666665</v>
      </c>
      <c r="M398" s="52">
        <f>L398+E398</f>
        <v>160.65333333333331</v>
      </c>
      <c r="N398" s="17">
        <f>(M398/D$6)^E$6</f>
        <v>0.42265433313983669</v>
      </c>
      <c r="O398" s="17">
        <f>(L398/D$6)^E$6</f>
        <v>0.22538752965113423</v>
      </c>
      <c r="P398" s="32">
        <f>1-EXP(O398-N398)</f>
        <v>0.17902843398794011</v>
      </c>
      <c r="Q398" s="53">
        <f>R397*(1-AF398*C$7)</f>
        <v>114.98666666666665</v>
      </c>
      <c r="R398" s="54">
        <f>Q398+E398</f>
        <v>160.65333333333331</v>
      </c>
      <c r="S398" s="16">
        <f>(R398/D$7)^E$7</f>
        <v>1.3269223205942826</v>
      </c>
      <c r="T398" s="16">
        <f>(Q398/D$7)^E$7</f>
        <v>0.58871732444471214</v>
      </c>
      <c r="U398" s="35">
        <f>1-EXP(T398-S398)</f>
        <v>0.52202889406362218</v>
      </c>
      <c r="V398" s="55">
        <f>W397*(1-AG398*C$8)</f>
        <v>114.98666666666665</v>
      </c>
      <c r="W398" s="56">
        <f>V398+E398</f>
        <v>160.65333333333331</v>
      </c>
      <c r="X398" s="18">
        <f>(W398/D$8)^E$8</f>
        <v>7.4253649203222485E-2</v>
      </c>
      <c r="Y398" s="18">
        <f>(V398/D$8)^E$8</f>
        <v>3.1860669160436672E-2</v>
      </c>
      <c r="Z398" s="38">
        <f>1-EXP(Y398-X398)</f>
        <v>4.150696208388982E-2</v>
      </c>
      <c r="AA398" s="41">
        <f>K398*P398*U398*Z398</f>
        <v>7.4954721482967004E-4</v>
      </c>
      <c r="AB398" s="42">
        <f>1-AA398</f>
        <v>0.99925045278517033</v>
      </c>
      <c r="AC398" s="47">
        <f>(AF398*F$7)+E398+AC397</f>
        <v>263.33333333333337</v>
      </c>
      <c r="AD398" s="80">
        <v>1</v>
      </c>
      <c r="AE398" s="45">
        <v>1</v>
      </c>
      <c r="AF398" s="81">
        <v>1</v>
      </c>
      <c r="AG398" s="45">
        <v>1</v>
      </c>
      <c r="AH398" s="94">
        <v>67</v>
      </c>
    </row>
    <row r="399" spans="1:34" ht="18.75" x14ac:dyDescent="0.3">
      <c r="A399" s="132" t="s">
        <v>53</v>
      </c>
      <c r="B399" s="132"/>
      <c r="C399" s="132"/>
      <c r="D399" s="132"/>
      <c r="E399" s="132"/>
      <c r="F399" s="132"/>
      <c r="G399" s="132"/>
      <c r="H399" s="132"/>
      <c r="I399" s="132"/>
      <c r="J399" s="132"/>
      <c r="AG399" s="46"/>
    </row>
    <row r="400" spans="1:34" ht="15.75" x14ac:dyDescent="0.25">
      <c r="A400" s="19" t="s">
        <v>58</v>
      </c>
      <c r="B400" s="60" t="s">
        <v>49</v>
      </c>
      <c r="C400" s="61" t="s">
        <v>50</v>
      </c>
      <c r="D400" s="19" t="s">
        <v>82</v>
      </c>
      <c r="E400" s="60" t="s">
        <v>57</v>
      </c>
      <c r="F400" s="61" t="s">
        <v>50</v>
      </c>
      <c r="G400" s="19" t="s">
        <v>48</v>
      </c>
      <c r="H400" s="60" t="s">
        <v>61</v>
      </c>
      <c r="I400" s="61" t="s">
        <v>50</v>
      </c>
      <c r="J400" s="19" t="s">
        <v>54</v>
      </c>
      <c r="K400" s="83" t="s">
        <v>84</v>
      </c>
      <c r="L400" s="61" t="s">
        <v>50</v>
      </c>
      <c r="M400" s="61" t="s">
        <v>85</v>
      </c>
      <c r="O400" s="174" t="s">
        <v>64</v>
      </c>
      <c r="P400" s="174"/>
      <c r="Q400" s="175" t="s">
        <v>109</v>
      </c>
      <c r="R400" s="175"/>
    </row>
    <row r="401" spans="1:20" ht="24.75" x14ac:dyDescent="0.25">
      <c r="A401" s="61" t="s">
        <v>51</v>
      </c>
      <c r="B401" s="1">
        <f>AA395</f>
        <v>1.8543515323034395E-6</v>
      </c>
      <c r="C401" s="59">
        <f>MAX(AC395+1*L388-F395,0)</f>
        <v>0</v>
      </c>
      <c r="D401" s="62" t="s">
        <v>55</v>
      </c>
      <c r="E401" s="1">
        <f>AA395*AA396</f>
        <v>1.1353910845495988E-9</v>
      </c>
      <c r="F401" s="1">
        <f>MAX(AC396+2*L388-F396,0)</f>
        <v>8.6666666666666856</v>
      </c>
      <c r="G401" s="62" t="s">
        <v>59</v>
      </c>
      <c r="H401" s="1">
        <f>AA395*AA396*AA397</f>
        <v>3.4833053921865515E-12</v>
      </c>
      <c r="I401" s="1">
        <f>AC397+3*L388-F397</f>
        <v>169.66666666666669</v>
      </c>
      <c r="J401" s="62" t="s">
        <v>83</v>
      </c>
      <c r="K401" s="1">
        <f>AA395*AA396*AA397*AA398</f>
        <v>2.6109018551146013E-15</v>
      </c>
      <c r="L401" s="1">
        <f>AC398+4*L388-F398</f>
        <v>216.33333333333337</v>
      </c>
      <c r="M401" s="1">
        <f>B401*C401*AH395+E401*F401*AH396+H401*I401*AH397+K401*L401*AH398</f>
        <v>8.6008264149496768E-7</v>
      </c>
      <c r="O401" s="1" t="s">
        <v>27</v>
      </c>
      <c r="P401" s="1">
        <f>2*H386</f>
        <v>3640</v>
      </c>
      <c r="Q401" s="1">
        <f>(K395*(1-P395)*(1-U395)*(1-Z395))+(P395*(1-K395)*(1-U395)*(1-Z395))+(U395*(1-K395)*(1-P395)*(1-Z395))+(Z395*(1-K395)*(1-P395)*(1-U395))</f>
        <v>0.19389466846386108</v>
      </c>
      <c r="R401" s="1">
        <f>Q401*(L$7*(J$5*K$5+L$5)+I$5)</f>
        <v>6833.8175900087836</v>
      </c>
    </row>
    <row r="402" spans="1:20" ht="24.75" x14ac:dyDescent="0.25">
      <c r="A402" s="62" t="s">
        <v>52</v>
      </c>
      <c r="B402" s="1">
        <f>AB395</f>
        <v>0.99999814564846767</v>
      </c>
      <c r="C402" s="59">
        <f>MAX(AC395-F395,0)</f>
        <v>0</v>
      </c>
      <c r="D402" s="62" t="s">
        <v>56</v>
      </c>
      <c r="E402" s="1">
        <f>AA395*AB396+AA396*AB395</f>
        <v>6.141367877060145E-4</v>
      </c>
      <c r="F402" s="1">
        <f>MAX(AC396+1*L388-F396,0)</f>
        <v>0</v>
      </c>
      <c r="G402" s="62" t="s">
        <v>60</v>
      </c>
      <c r="H402" s="1">
        <f>AA395*AA396*AB397+AA396*AA397*AB395+AA395*AA397*AB396</f>
        <v>1.8852632993913281E-6</v>
      </c>
      <c r="I402" s="1">
        <f>AC397+2*L388-F397</f>
        <v>157.66666666666669</v>
      </c>
      <c r="J402" s="62" t="s">
        <v>59</v>
      </c>
      <c r="K402">
        <f>AB395*AA396*AA397*AA398+AB396*AA395*AA397*AA398*+AB397*AA395*AA396*AA398+AB398*AA395*AA396*AA397</f>
        <v>1.4114645465820362E-9</v>
      </c>
      <c r="L402" s="1">
        <f>AC398+3*L388-F398</f>
        <v>204.33333333333337</v>
      </c>
      <c r="M402" s="1">
        <f>B402*C402*AH395+E402*F402*AH396+H402*I402*AH397+K402*L402*AH398</f>
        <v>1.19090506282922E-2</v>
      </c>
      <c r="O402" s="1" t="s">
        <v>28</v>
      </c>
      <c r="P402" s="1">
        <f>2*H387</f>
        <v>5440</v>
      </c>
      <c r="Q402" s="1">
        <f t="shared" ref="Q402:Q404" si="42">(K396*(1-P396)*(1-U396)*(1-Z396))+(P396*(1-K396)*(1-U396)*(1-Z396))+(U396*(1-K396)*(1-P396)*(1-Z396))+(Z396*(1-K396)*(1-P396)*(1-U396))</f>
        <v>0.46364468761225525</v>
      </c>
      <c r="R402" s="1">
        <f t="shared" ref="R402:R404" si="43">Q402*(L$7*(J$5*K$5+L$5)+I$5)</f>
        <v>16341.157014893935</v>
      </c>
    </row>
    <row r="403" spans="1:20" ht="24.75" x14ac:dyDescent="0.25">
      <c r="A403" s="1"/>
      <c r="B403" s="1"/>
      <c r="C403" s="1"/>
      <c r="D403" s="62" t="s">
        <v>52</v>
      </c>
      <c r="E403" s="1">
        <f>AB395*AB396</f>
        <v>0.99938586207690294</v>
      </c>
      <c r="F403" s="59">
        <f>MAX(AC396-F396,0)</f>
        <v>0</v>
      </c>
      <c r="G403" s="62" t="s">
        <v>56</v>
      </c>
      <c r="H403" s="1">
        <f>AA395*AB396*AB397+AA396*AB395*AB397*+AA397*AB395*AB396</f>
        <v>3.7190634073856935E-6</v>
      </c>
      <c r="I403" s="1">
        <f>AC397+1*L388-F397</f>
        <v>145.66666666666669</v>
      </c>
      <c r="J403" s="62" t="s">
        <v>60</v>
      </c>
      <c r="K403" s="1">
        <f>AA395*AA396*AB397*AB398 + AA395*AA397*AB396*AB398 + AA395*AA398*AB396*AB397 + AA396*AA397*AB395*AB398 + AA396*AA398*AB395*AB397 + AA397*AA398*AB395*AB396</f>
        <v>4.6409119330579861E-6</v>
      </c>
      <c r="L403" s="1">
        <f>AC398+2*L388-F398</f>
        <v>192.33333333333337</v>
      </c>
      <c r="M403" s="1">
        <f>B403*C403*AH395+E403*F403*AH396+H403*I403*AH397+K403*L403*AH398</f>
        <v>8.1474080927063541E-2</v>
      </c>
      <c r="O403" s="1" t="s">
        <v>29</v>
      </c>
      <c r="P403" s="1">
        <f>2*(F388*(J386*K386+L386)+H388)</f>
        <v>28200</v>
      </c>
      <c r="Q403" s="1">
        <f t="shared" si="42"/>
        <v>0.46439583274070867</v>
      </c>
      <c r="R403" s="1">
        <f t="shared" si="43"/>
        <v>16367.631124946278</v>
      </c>
    </row>
    <row r="404" spans="1:20" ht="24.75" x14ac:dyDescent="0.25">
      <c r="A404" s="1"/>
      <c r="B404" s="1"/>
      <c r="C404" s="1"/>
      <c r="D404" s="1"/>
      <c r="E404" s="1"/>
      <c r="F404" s="1"/>
      <c r="G404" s="62" t="s">
        <v>52</v>
      </c>
      <c r="H404" s="1">
        <f>AB395*AB396*AB397</f>
        <v>0.99631981178848761</v>
      </c>
      <c r="I404" s="63">
        <f>AC397-F397</f>
        <v>133.66666666666669</v>
      </c>
      <c r="J404" s="62" t="s">
        <v>56</v>
      </c>
      <c r="K404" s="1">
        <f>AA395*AB396*AB397*AB398+AA396*AB395*AB397*AB398+AA397*AB395*AB396*AB398+AA398*AB395*AB396*AB397</f>
        <v>4.4223346230078822E-3</v>
      </c>
      <c r="L404" s="1">
        <f>AC398+1*L388-F398</f>
        <v>180.33333333333337</v>
      </c>
      <c r="M404" s="1">
        <f>B404*C404*AH395+E404*F404*AH396+H404*I404*AH397+K404*L404*AH398</f>
        <v>5380.4220480558379</v>
      </c>
      <c r="O404" s="1" t="s">
        <v>30</v>
      </c>
      <c r="P404" s="1">
        <f>2*H389</f>
        <v>8640</v>
      </c>
      <c r="Q404" s="1">
        <f t="shared" si="42"/>
        <v>0.48339424965059907</v>
      </c>
      <c r="R404" s="1">
        <f t="shared" si="43"/>
        <v>17037.230328935366</v>
      </c>
    </row>
    <row r="405" spans="1:20" ht="30" x14ac:dyDescent="0.25">
      <c r="I405" s="84"/>
      <c r="J405" s="62" t="s">
        <v>52</v>
      </c>
      <c r="K405" s="85">
        <f>AB395*AB396*AB397*AB398</f>
        <v>0.99557302304848194</v>
      </c>
      <c r="L405" s="1">
        <f>AC398+0*L388-F398</f>
        <v>168.33333333333337</v>
      </c>
      <c r="M405" s="1">
        <f>B405*C405*AH395+E405*F405*AH396+H405*I405*AH397+K405*L405*AH398</f>
        <v>11228.404411615131</v>
      </c>
      <c r="O405" s="64" t="s">
        <v>65</v>
      </c>
      <c r="P405" s="65">
        <f>SUM(P401:P404)</f>
        <v>45920</v>
      </c>
      <c r="Q405" s="96" t="s">
        <v>108</v>
      </c>
      <c r="R405" s="97">
        <f>SUM(R401:R404)</f>
        <v>56579.836058784364</v>
      </c>
    </row>
    <row r="406" spans="1:20" x14ac:dyDescent="0.25">
      <c r="L406" s="176" t="s">
        <v>63</v>
      </c>
      <c r="M406" s="177">
        <f>SUM(M401:M405)</f>
        <v>16608.919843662607</v>
      </c>
    </row>
    <row r="407" spans="1:20" x14ac:dyDescent="0.25">
      <c r="L407" s="176"/>
      <c r="M407" s="177"/>
    </row>
    <row r="408" spans="1:20" x14ac:dyDescent="0.25">
      <c r="A408" s="178" t="s">
        <v>90</v>
      </c>
      <c r="B408" s="178"/>
      <c r="C408" s="178"/>
      <c r="D408" s="178"/>
      <c r="E408" s="178"/>
      <c r="F408" s="178"/>
      <c r="G408" s="178"/>
      <c r="H408" s="178"/>
      <c r="I408" s="178"/>
      <c r="J408" s="178"/>
      <c r="K408" s="178"/>
      <c r="L408" s="178"/>
      <c r="M408" s="178"/>
      <c r="N408" s="178"/>
    </row>
    <row r="409" spans="1:20" ht="15.75" x14ac:dyDescent="0.25">
      <c r="A409" s="87" t="s">
        <v>77</v>
      </c>
      <c r="B409" s="62" t="s">
        <v>49</v>
      </c>
      <c r="C409" s="90" t="s">
        <v>78</v>
      </c>
      <c r="D409" s="62" t="s">
        <v>88</v>
      </c>
      <c r="E409" s="87" t="s">
        <v>86</v>
      </c>
      <c r="F409" s="62" t="s">
        <v>57</v>
      </c>
      <c r="G409" s="90" t="s">
        <v>103</v>
      </c>
      <c r="H409" s="62" t="s">
        <v>88</v>
      </c>
      <c r="I409" s="87" t="s">
        <v>75</v>
      </c>
      <c r="J409" s="62" t="s">
        <v>61</v>
      </c>
      <c r="K409" s="90" t="s">
        <v>87</v>
      </c>
      <c r="L409" s="62" t="s">
        <v>88</v>
      </c>
      <c r="M409" s="87" t="s">
        <v>76</v>
      </c>
      <c r="N409" s="62" t="s">
        <v>84</v>
      </c>
      <c r="O409" s="90" t="s">
        <v>102</v>
      </c>
      <c r="P409" s="62" t="s">
        <v>88</v>
      </c>
    </row>
    <row r="410" spans="1:20" ht="24.75" x14ac:dyDescent="0.25">
      <c r="A410" s="62" t="s">
        <v>51</v>
      </c>
      <c r="B410" s="86">
        <v>1.8543515323034395E-6</v>
      </c>
      <c r="C410" s="86">
        <f>AC395+1*L388</f>
        <v>67</v>
      </c>
      <c r="D410" s="86">
        <f>MAX(B410*1.5*((C410-F395)*500/2),0)</f>
        <v>0</v>
      </c>
      <c r="E410" s="62" t="s">
        <v>55</v>
      </c>
      <c r="F410" s="86">
        <v>1.1353910845495988E-9</v>
      </c>
      <c r="G410" s="86">
        <f>AC396+2*L388</f>
        <v>148.66666666666669</v>
      </c>
      <c r="H410" s="86">
        <f>F410*1.5*((G410-F396)*500/2+(G410-F397)*500+(G410-F398)*500)</f>
        <v>1.1126832628586072E-4</v>
      </c>
      <c r="I410" s="62" t="s">
        <v>59</v>
      </c>
      <c r="J410" s="86">
        <v>3.4833053921865515E-12</v>
      </c>
      <c r="K410" s="86">
        <f>AC397+3*L388</f>
        <v>245.66666666666669</v>
      </c>
      <c r="L410" s="86">
        <f>J410*1.5*((K410-G410)*500/2+(K410-G410)*500)</f>
        <v>3.8011570092235743E-7</v>
      </c>
      <c r="M410" s="62" t="s">
        <v>83</v>
      </c>
      <c r="N410" s="86">
        <v>2.6109018551146013E-15</v>
      </c>
      <c r="O410" s="86">
        <f>AC398+4*L388</f>
        <v>311.33333333333337</v>
      </c>
      <c r="P410" s="86">
        <f>N410*1.5*((O410-K410)*500/2)</f>
        <v>6.4293458182197074E-11</v>
      </c>
    </row>
    <row r="411" spans="1:20" ht="24.75" x14ac:dyDescent="0.25">
      <c r="A411" s="62" t="s">
        <v>52</v>
      </c>
      <c r="B411" s="86">
        <v>0.99999814564846767</v>
      </c>
      <c r="C411" s="88">
        <f>AC395</f>
        <v>55</v>
      </c>
      <c r="D411" s="86">
        <f>MAX(B411*1.5*((C411-F395)*500/2),0)</f>
        <v>0</v>
      </c>
      <c r="E411" s="62" t="s">
        <v>56</v>
      </c>
      <c r="F411" s="86">
        <v>6.141367877060145E-4</v>
      </c>
      <c r="G411" s="86">
        <f>AC396+1*L388</f>
        <v>136.66666666666669</v>
      </c>
      <c r="H411" s="86">
        <f>F411*1.5*((G411-F397)*500+(G411-F398)*500)</f>
        <v>47.134998456436634</v>
      </c>
      <c r="I411" s="62" t="s">
        <v>60</v>
      </c>
      <c r="J411" s="86">
        <v>1.8852632993913281E-6</v>
      </c>
      <c r="K411" s="86">
        <f>AC397+2*L388</f>
        <v>233.66666666666669</v>
      </c>
      <c r="L411" s="86">
        <f>J411*1.5*((K411-G411)*500/2+(K411-G411)*500)</f>
        <v>0.20572935754607868</v>
      </c>
      <c r="M411" s="62" t="s">
        <v>59</v>
      </c>
      <c r="N411" s="86">
        <v>1.4114645465820362E-9</v>
      </c>
      <c r="O411" s="86">
        <f>AC398+3*L388</f>
        <v>299.33333333333337</v>
      </c>
      <c r="P411" s="86">
        <f>N411*1.5*((O411-K411)*500/2)</f>
        <v>3.4757314459582654E-5</v>
      </c>
    </row>
    <row r="412" spans="1:20" x14ac:dyDescent="0.25">
      <c r="A412" s="86"/>
      <c r="B412" s="86"/>
      <c r="C412" s="89" t="s">
        <v>89</v>
      </c>
      <c r="D412" s="89">
        <f>SUM(D410:D411)</f>
        <v>0</v>
      </c>
      <c r="E412" s="62" t="s">
        <v>52</v>
      </c>
      <c r="F412" s="86">
        <v>0.99938586207690294</v>
      </c>
      <c r="G412" s="86">
        <f>AC396+0*L388</f>
        <v>124.66666666666667</v>
      </c>
      <c r="H412" s="86">
        <f>F412*1.5*((G412-F397)*500+(G412-F398)*500)</f>
        <v>58713.919397018057</v>
      </c>
      <c r="I412" s="62" t="s">
        <v>56</v>
      </c>
      <c r="J412" s="86">
        <v>3.7190634073856935E-6</v>
      </c>
      <c r="K412" s="86">
        <f>AC397+1*L388</f>
        <v>221.66666666666669</v>
      </c>
      <c r="L412" s="86">
        <f>J412*1.5*((K412-G412)*500/2+(K412-G412)*500)</f>
        <v>0.40584279433096387</v>
      </c>
      <c r="M412" s="62" t="s">
        <v>60</v>
      </c>
      <c r="N412" s="86">
        <v>4.6409119330579861E-6</v>
      </c>
      <c r="O412" s="86">
        <f>AC398+2*L388</f>
        <v>287.33333333333337</v>
      </c>
      <c r="P412" s="86">
        <f>N412*1.5*((O412-K412)*500/2)</f>
        <v>0.11428245635155294</v>
      </c>
    </row>
    <row r="413" spans="1:20" x14ac:dyDescent="0.25">
      <c r="A413" s="86"/>
      <c r="B413" s="86"/>
      <c r="C413" s="86"/>
      <c r="D413" s="86"/>
      <c r="E413" s="86"/>
      <c r="F413" s="86"/>
      <c r="G413" s="89" t="s">
        <v>79</v>
      </c>
      <c r="H413" s="89">
        <f>SUM(H410:H412)</f>
        <v>58761.054506742817</v>
      </c>
      <c r="I413" s="62" t="s">
        <v>52</v>
      </c>
      <c r="J413" s="86">
        <v>0.99631981178848761</v>
      </c>
      <c r="K413" s="86">
        <f>AC397+0*L388</f>
        <v>209.66666666666669</v>
      </c>
      <c r="L413" s="86">
        <f>J413*1.5*((K413-G412)*500/2+(K413-G412)*500)</f>
        <v>95273.082002274139</v>
      </c>
      <c r="M413" s="62" t="s">
        <v>56</v>
      </c>
      <c r="N413" s="86">
        <v>4.4223346230078822E-3</v>
      </c>
      <c r="O413" s="86">
        <f>AC398+1*L388</f>
        <v>275.33333333333337</v>
      </c>
      <c r="P413" s="86">
        <f>N413*1.5*((O413-K413)*500/2)</f>
        <v>108.89999009156914</v>
      </c>
    </row>
    <row r="414" spans="1:20" x14ac:dyDescent="0.25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9" t="s">
        <v>79</v>
      </c>
      <c r="L414" s="89">
        <f>SUM(L410:L413)</f>
        <v>95273.693574806137</v>
      </c>
      <c r="M414" s="62" t="s">
        <v>52</v>
      </c>
      <c r="N414" s="86">
        <v>0.99557302304848194</v>
      </c>
      <c r="O414" s="86">
        <f>AC398+0*L388</f>
        <v>263.33333333333337</v>
      </c>
      <c r="P414" s="86">
        <f>N414*1.5*((O414-K413)*500/2)</f>
        <v>20035.907088850705</v>
      </c>
      <c r="Q414" s="179" t="s">
        <v>80</v>
      </c>
      <c r="R414" s="179"/>
      <c r="S414" s="180">
        <f>D412+H413+L414+P415</f>
        <v>174179.66947770497</v>
      </c>
      <c r="T414" s="180"/>
    </row>
    <row r="415" spans="1:20" x14ac:dyDescent="0.25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9" t="s">
        <v>79</v>
      </c>
      <c r="P415" s="89">
        <f>SUM(P410:P414)</f>
        <v>20144.921396156005</v>
      </c>
      <c r="Q415" s="179"/>
      <c r="R415" s="179"/>
      <c r="S415" s="180"/>
      <c r="T415" s="180"/>
    </row>
    <row r="416" spans="1:20" x14ac:dyDescent="0.25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</row>
    <row r="417" spans="1:34" x14ac:dyDescent="0.25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</row>
    <row r="418" spans="1:34" x14ac:dyDescent="0.25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</row>
    <row r="419" spans="1:34" ht="24.75" thickBot="1" x14ac:dyDescent="0.3">
      <c r="O419" s="131" t="s">
        <v>81</v>
      </c>
      <c r="P419" s="131"/>
      <c r="Q419" s="131">
        <f>(R405+P405+M406+S414)/AC398</f>
        <v>1113.7535141018427</v>
      </c>
      <c r="R419" s="131"/>
    </row>
    <row r="420" spans="1:34" x14ac:dyDescent="0.25">
      <c r="A420" s="181" t="s">
        <v>116</v>
      </c>
      <c r="B420" s="182"/>
    </row>
    <row r="421" spans="1:34" ht="15.75" thickBot="1" x14ac:dyDescent="0.3">
      <c r="A421" s="183"/>
      <c r="B421" s="184"/>
    </row>
    <row r="422" spans="1:34" ht="21" x14ac:dyDescent="0.35">
      <c r="A422" s="185" t="s">
        <v>14</v>
      </c>
      <c r="B422" s="185"/>
      <c r="C422" s="165"/>
      <c r="D422" s="165"/>
      <c r="E422" s="165"/>
      <c r="F422" s="165"/>
      <c r="G422" s="165"/>
      <c r="H422" s="165"/>
      <c r="I422" s="165"/>
      <c r="J422" s="165"/>
      <c r="K422" s="165"/>
      <c r="L422" s="165"/>
      <c r="M422" s="165"/>
      <c r="O422" s="166" t="s">
        <v>72</v>
      </c>
      <c r="P422" s="166"/>
      <c r="Q422" s="166"/>
      <c r="R422" s="166"/>
      <c r="S422" s="166"/>
      <c r="T422" s="166"/>
      <c r="U422" s="166"/>
      <c r="V422" s="166"/>
    </row>
    <row r="423" spans="1:34" ht="36" x14ac:dyDescent="0.25">
      <c r="A423" s="4" t="s">
        <v>15</v>
      </c>
      <c r="B423" s="4" t="s">
        <v>16</v>
      </c>
      <c r="C423" s="4" t="s">
        <v>31</v>
      </c>
      <c r="D423" s="6" t="s">
        <v>17</v>
      </c>
      <c r="E423" s="6" t="s">
        <v>18</v>
      </c>
      <c r="F423" s="6" t="s">
        <v>19</v>
      </c>
      <c r="G423" s="6" t="s">
        <v>20</v>
      </c>
      <c r="H423" s="6" t="s">
        <v>21</v>
      </c>
      <c r="I423" s="6" t="s">
        <v>22</v>
      </c>
      <c r="J423" s="6" t="s">
        <v>23</v>
      </c>
      <c r="K423" s="6" t="s">
        <v>24</v>
      </c>
      <c r="L423" s="6" t="s">
        <v>25</v>
      </c>
      <c r="M423" s="6" t="s">
        <v>26</v>
      </c>
      <c r="N423" s="8"/>
      <c r="O423" s="167" t="s">
        <v>32</v>
      </c>
      <c r="P423" s="167" t="s">
        <v>35</v>
      </c>
      <c r="Q423" s="167" t="s">
        <v>66</v>
      </c>
      <c r="R423" s="99" t="s">
        <v>67</v>
      </c>
      <c r="S423" s="99" t="s">
        <v>68</v>
      </c>
      <c r="T423" s="167" t="s">
        <v>69</v>
      </c>
      <c r="U423" s="71" t="s">
        <v>33</v>
      </c>
      <c r="V423" s="99" t="s">
        <v>70</v>
      </c>
    </row>
    <row r="424" spans="1:34" x14ac:dyDescent="0.25">
      <c r="A424" s="3" t="s">
        <v>27</v>
      </c>
      <c r="B424" s="3">
        <v>0</v>
      </c>
      <c r="C424" s="3">
        <v>0.3</v>
      </c>
      <c r="D424" s="3">
        <v>243</v>
      </c>
      <c r="E424" s="3">
        <v>1.73</v>
      </c>
      <c r="F424" s="3">
        <v>5</v>
      </c>
      <c r="G424" s="169">
        <v>12</v>
      </c>
      <c r="H424" s="3">
        <v>1820</v>
      </c>
      <c r="I424" s="169">
        <v>19645</v>
      </c>
      <c r="J424" s="3">
        <v>20</v>
      </c>
      <c r="K424" s="3">
        <v>40</v>
      </c>
      <c r="L424" s="3">
        <v>500</v>
      </c>
      <c r="M424" s="3">
        <v>1000</v>
      </c>
      <c r="O424" s="168"/>
      <c r="P424" s="168"/>
      <c r="Q424" s="168"/>
      <c r="R424" s="72" t="s">
        <v>71</v>
      </c>
      <c r="S424" s="72" t="s">
        <v>71</v>
      </c>
      <c r="T424" s="168"/>
      <c r="U424" s="73">
        <v>500</v>
      </c>
      <c r="V424" s="3">
        <v>1.5</v>
      </c>
    </row>
    <row r="425" spans="1:34" x14ac:dyDescent="0.25">
      <c r="A425" s="3" t="s">
        <v>28</v>
      </c>
      <c r="B425" s="3">
        <v>0</v>
      </c>
      <c r="C425" s="3">
        <v>0.3</v>
      </c>
      <c r="D425" s="3">
        <v>254</v>
      </c>
      <c r="E425" s="3">
        <v>1.88</v>
      </c>
      <c r="F425" s="3">
        <v>3</v>
      </c>
      <c r="G425" s="170"/>
      <c r="H425" s="3">
        <v>2720</v>
      </c>
      <c r="I425" s="170"/>
      <c r="J425" s="5"/>
      <c r="K425" s="5"/>
      <c r="L425" s="5"/>
      <c r="M425" s="5"/>
      <c r="O425" s="74">
        <v>1</v>
      </c>
      <c r="P425" s="74">
        <v>106</v>
      </c>
      <c r="Q425" s="74">
        <v>110</v>
      </c>
      <c r="R425" s="74">
        <v>6</v>
      </c>
      <c r="S425" s="74">
        <v>5</v>
      </c>
      <c r="T425" s="74">
        <f>R425*$U$5/60+S425</f>
        <v>55</v>
      </c>
      <c r="U425" s="75"/>
    </row>
    <row r="426" spans="1:34" x14ac:dyDescent="0.25">
      <c r="A426" s="3" t="s">
        <v>29</v>
      </c>
      <c r="B426" s="3">
        <v>0</v>
      </c>
      <c r="C426" s="3">
        <v>0.3</v>
      </c>
      <c r="D426" s="3">
        <v>143</v>
      </c>
      <c r="E426" s="3">
        <v>2.4300000000000002</v>
      </c>
      <c r="F426" s="3">
        <v>8</v>
      </c>
      <c r="G426" s="170"/>
      <c r="H426" s="3">
        <v>3700</v>
      </c>
      <c r="I426" s="170"/>
      <c r="J426" s="5"/>
      <c r="K426" s="140" t="s">
        <v>73</v>
      </c>
      <c r="L426" s="141">
        <v>12</v>
      </c>
      <c r="M426" s="140" t="s">
        <v>74</v>
      </c>
      <c r="N426" s="141">
        <v>19645</v>
      </c>
      <c r="O426" s="74">
        <v>2</v>
      </c>
      <c r="P426" s="74">
        <v>76</v>
      </c>
      <c r="Q426" s="74">
        <v>40</v>
      </c>
      <c r="R426" s="74">
        <v>9</v>
      </c>
      <c r="S426" s="74">
        <v>2</v>
      </c>
      <c r="T426" s="74">
        <f t="shared" ref="T426:T428" si="44">R426*$U$5/60+S426</f>
        <v>77</v>
      </c>
      <c r="U426" s="75"/>
    </row>
    <row r="427" spans="1:34" x14ac:dyDescent="0.25">
      <c r="A427" s="3" t="s">
        <v>30</v>
      </c>
      <c r="B427" s="3">
        <v>0</v>
      </c>
      <c r="C427" s="3">
        <v>0.3</v>
      </c>
      <c r="D427" s="3">
        <v>449</v>
      </c>
      <c r="E427" s="3">
        <v>2.5299999999999998</v>
      </c>
      <c r="F427" s="3">
        <v>4</v>
      </c>
      <c r="G427" s="171"/>
      <c r="H427" s="3">
        <v>4320</v>
      </c>
      <c r="I427" s="171"/>
      <c r="J427" s="5"/>
      <c r="K427" s="140"/>
      <c r="L427" s="141"/>
      <c r="M427" s="140"/>
      <c r="N427" s="141"/>
      <c r="O427" s="74">
        <v>3</v>
      </c>
      <c r="P427" s="74">
        <v>95</v>
      </c>
      <c r="Q427" s="74">
        <v>67</v>
      </c>
      <c r="R427" s="74">
        <v>5</v>
      </c>
      <c r="S427" s="74">
        <v>4</v>
      </c>
      <c r="T427" s="74">
        <f t="shared" si="44"/>
        <v>45.666666666666664</v>
      </c>
      <c r="U427" s="75"/>
    </row>
    <row r="428" spans="1:34" ht="15.75" thickBo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O428" s="74">
        <v>4</v>
      </c>
      <c r="P428" s="74">
        <v>140</v>
      </c>
      <c r="Q428" s="94">
        <v>85</v>
      </c>
      <c r="R428" s="94">
        <v>8</v>
      </c>
      <c r="S428" s="94">
        <v>3</v>
      </c>
      <c r="T428" s="74">
        <f t="shared" si="44"/>
        <v>69.666666666666671</v>
      </c>
    </row>
    <row r="429" spans="1:34" ht="15" customHeight="1" x14ac:dyDescent="0.25">
      <c r="A429" s="142" t="s">
        <v>100</v>
      </c>
      <c r="B429" s="144" t="s">
        <v>129</v>
      </c>
      <c r="C429" s="144"/>
      <c r="D429" s="144"/>
      <c r="E429" s="144"/>
      <c r="F429" s="20" t="s">
        <v>27</v>
      </c>
      <c r="G429" s="20" t="s">
        <v>28</v>
      </c>
      <c r="H429" s="20" t="s">
        <v>29</v>
      </c>
      <c r="I429" s="20" t="s">
        <v>30</v>
      </c>
    </row>
    <row r="430" spans="1:34" ht="15.75" customHeight="1" thickBot="1" x14ac:dyDescent="0.3">
      <c r="A430" s="143"/>
      <c r="B430" s="145"/>
      <c r="C430" s="145"/>
      <c r="D430" s="145"/>
      <c r="E430" s="145"/>
      <c r="F430" s="20">
        <v>91</v>
      </c>
      <c r="G430" s="26">
        <v>91</v>
      </c>
      <c r="H430" s="26">
        <v>91</v>
      </c>
      <c r="I430" s="26">
        <v>91</v>
      </c>
    </row>
    <row r="431" spans="1:34" ht="15.75" customHeight="1" thickBot="1" x14ac:dyDescent="0.3">
      <c r="A431" s="143"/>
      <c r="B431" s="145"/>
      <c r="C431" s="145"/>
      <c r="D431" s="145"/>
      <c r="E431" s="145"/>
      <c r="F431" s="7"/>
      <c r="G431" s="146" t="s">
        <v>27</v>
      </c>
      <c r="H431" s="147"/>
      <c r="I431" s="147"/>
      <c r="J431" s="147"/>
      <c r="K431" s="148"/>
      <c r="L431" s="149" t="s">
        <v>28</v>
      </c>
      <c r="M431" s="150"/>
      <c r="N431" s="150"/>
      <c r="O431" s="150"/>
      <c r="P431" s="151"/>
      <c r="Q431" s="152" t="s">
        <v>29</v>
      </c>
      <c r="R431" s="153"/>
      <c r="S431" s="153"/>
      <c r="T431" s="153"/>
      <c r="U431" s="154"/>
      <c r="V431" s="155" t="s">
        <v>30</v>
      </c>
      <c r="W431" s="156"/>
      <c r="X431" s="156"/>
      <c r="Y431" s="156"/>
      <c r="Z431" s="157"/>
      <c r="AA431" s="158" t="s">
        <v>42</v>
      </c>
      <c r="AB431" s="159"/>
      <c r="AC431" s="160" t="s">
        <v>44</v>
      </c>
      <c r="AD431" s="162" t="s">
        <v>47</v>
      </c>
      <c r="AE431" s="163"/>
      <c r="AF431" s="163"/>
      <c r="AG431" s="164"/>
      <c r="AH431" s="138" t="s">
        <v>62</v>
      </c>
    </row>
    <row r="432" spans="1:34" ht="36.75" x14ac:dyDescent="0.25">
      <c r="A432" s="21" t="s">
        <v>32</v>
      </c>
      <c r="B432" s="22" t="s">
        <v>37</v>
      </c>
      <c r="C432" s="23" t="s">
        <v>33</v>
      </c>
      <c r="D432" s="22" t="s">
        <v>38</v>
      </c>
      <c r="E432" s="22" t="s">
        <v>34</v>
      </c>
      <c r="F432" s="25" t="s">
        <v>35</v>
      </c>
      <c r="G432" s="27" t="s">
        <v>39</v>
      </c>
      <c r="H432" s="10" t="s">
        <v>40</v>
      </c>
      <c r="I432" s="10" t="s">
        <v>45</v>
      </c>
      <c r="J432" s="10" t="s">
        <v>46</v>
      </c>
      <c r="K432" s="28" t="s">
        <v>41</v>
      </c>
      <c r="L432" s="30" t="s">
        <v>39</v>
      </c>
      <c r="M432" s="13" t="s">
        <v>40</v>
      </c>
      <c r="N432" s="13" t="s">
        <v>45</v>
      </c>
      <c r="O432" s="13" t="s">
        <v>46</v>
      </c>
      <c r="P432" s="31" t="s">
        <v>41</v>
      </c>
      <c r="Q432" s="33" t="s">
        <v>39</v>
      </c>
      <c r="R432" s="12" t="s">
        <v>40</v>
      </c>
      <c r="S432" s="12" t="s">
        <v>45</v>
      </c>
      <c r="T432" s="12" t="s">
        <v>46</v>
      </c>
      <c r="U432" s="34" t="s">
        <v>41</v>
      </c>
      <c r="V432" s="36" t="s">
        <v>39</v>
      </c>
      <c r="W432" s="11" t="s">
        <v>40</v>
      </c>
      <c r="X432" s="11" t="s">
        <v>45</v>
      </c>
      <c r="Y432" s="11" t="s">
        <v>46</v>
      </c>
      <c r="Z432" s="37" t="s">
        <v>41</v>
      </c>
      <c r="AA432" s="39" t="s">
        <v>41</v>
      </c>
      <c r="AB432" s="40" t="s">
        <v>43</v>
      </c>
      <c r="AC432" s="161"/>
      <c r="AD432" s="43" t="s">
        <v>27</v>
      </c>
      <c r="AE432" s="1" t="s">
        <v>28</v>
      </c>
      <c r="AF432" s="1" t="s">
        <v>29</v>
      </c>
      <c r="AG432" s="1" t="s">
        <v>30</v>
      </c>
      <c r="AH432" s="139"/>
    </row>
    <row r="433" spans="1:34" x14ac:dyDescent="0.25">
      <c r="A433" s="24">
        <v>1</v>
      </c>
      <c r="B433" s="9">
        <v>6</v>
      </c>
      <c r="C433" s="9">
        <v>500</v>
      </c>
      <c r="D433" s="9">
        <v>5</v>
      </c>
      <c r="E433" s="48">
        <f>B433*C433/60+D433</f>
        <v>55</v>
      </c>
      <c r="F433" s="100">
        <v>106</v>
      </c>
      <c r="G433" s="49">
        <f>B$5*(1-AD433*C$5)</f>
        <v>0</v>
      </c>
      <c r="H433" s="50">
        <f>G433+E433</f>
        <v>55</v>
      </c>
      <c r="I433" s="15">
        <f>(H433/D$5)^E$5</f>
        <v>7.6511831764011648E-2</v>
      </c>
      <c r="J433" s="15">
        <f>(G433/D$5)^E$5</f>
        <v>0</v>
      </c>
      <c r="K433" s="29">
        <f>1-EXP(J433-I433)</f>
        <v>7.3658046035411151E-2</v>
      </c>
      <c r="L433" s="51">
        <f>B$6*(1-AE433*C$6)</f>
        <v>0</v>
      </c>
      <c r="M433" s="52">
        <f>L433+E433</f>
        <v>55</v>
      </c>
      <c r="N433" s="17">
        <f>(M433/D$6)^E$6</f>
        <v>5.633709759436846E-2</v>
      </c>
      <c r="O433" s="17">
        <f>(L433/D$6)^E$6</f>
        <v>0</v>
      </c>
      <c r="P433" s="32">
        <f>1-EXP(O433-N433)</f>
        <v>5.4779549360660096E-2</v>
      </c>
      <c r="Q433" s="53">
        <f>B$7*(1-AF433*C$7)</f>
        <v>0</v>
      </c>
      <c r="R433" s="54">
        <f>Q433+E433</f>
        <v>55</v>
      </c>
      <c r="S433" s="16">
        <f>(R433/D$7)^E$7</f>
        <v>9.8087748172662498E-2</v>
      </c>
      <c r="T433" s="16">
        <f>(Q433/D$7)^E$7</f>
        <v>0</v>
      </c>
      <c r="U433" s="35">
        <f>1-EXP(T433-S433)</f>
        <v>9.3430649540250821E-2</v>
      </c>
      <c r="V433" s="55">
        <f>B$8*(1-AG433*C$8)</f>
        <v>0</v>
      </c>
      <c r="W433" s="56">
        <f>V433+E433</f>
        <v>55</v>
      </c>
      <c r="X433" s="18">
        <f>(W433/D$8)^E$8</f>
        <v>4.9309927237744132E-3</v>
      </c>
      <c r="Y433" s="18">
        <f>(V433/D$8)^E$8</f>
        <v>0</v>
      </c>
      <c r="Z433" s="38">
        <f>1-EXP(Y433-X433)</f>
        <v>4.9188553371368737E-3</v>
      </c>
      <c r="AA433" s="41">
        <f>K433*P433*U433*Z433</f>
        <v>1.8543515323034395E-6</v>
      </c>
      <c r="AB433" s="42">
        <f>1-AA433</f>
        <v>0.99999814564846767</v>
      </c>
      <c r="AC433" s="47">
        <f>(AD433*F$5+AE433*F$6+AF433*F$7+AG433*F$8)+E433</f>
        <v>55</v>
      </c>
      <c r="AD433" s="43">
        <v>0</v>
      </c>
      <c r="AE433" s="1">
        <v>0</v>
      </c>
      <c r="AF433" s="1">
        <v>0</v>
      </c>
      <c r="AG433" s="1">
        <v>0</v>
      </c>
      <c r="AH433" s="74">
        <v>110</v>
      </c>
    </row>
    <row r="434" spans="1:34" x14ac:dyDescent="0.25">
      <c r="A434" s="76">
        <v>4</v>
      </c>
      <c r="B434" s="58">
        <v>8</v>
      </c>
      <c r="C434" s="9">
        <v>500</v>
      </c>
      <c r="D434" s="58">
        <v>3</v>
      </c>
      <c r="E434" s="48">
        <f t="shared" ref="E434:E436" si="45">B434*C434/60+D434</f>
        <v>69.666666666666671</v>
      </c>
      <c r="F434" s="100">
        <v>140</v>
      </c>
      <c r="G434" s="49">
        <f>H433*(1-AD434*C$5)</f>
        <v>55</v>
      </c>
      <c r="H434" s="50">
        <f>G434+E434</f>
        <v>124.66666666666667</v>
      </c>
      <c r="I434" s="15">
        <f>(H434/D$5)^E$5</f>
        <v>0.31517317577772647</v>
      </c>
      <c r="J434" s="15">
        <f>(G434/D$5)^E$5</f>
        <v>7.6511831764011648E-2</v>
      </c>
      <c r="K434" s="29">
        <f>1-EXP(J434-I434)</f>
        <v>0.21231840970513827</v>
      </c>
      <c r="L434" s="51">
        <f>M433*(1-AE434*C$6)</f>
        <v>55</v>
      </c>
      <c r="M434" s="52">
        <f>L434+E434</f>
        <v>124.66666666666667</v>
      </c>
      <c r="N434" s="17">
        <f>(M434/D$6)^E$6</f>
        <v>0.26237549202961352</v>
      </c>
      <c r="O434" s="17">
        <f>(L434/D$6)^E$6</f>
        <v>5.633709759436846E-2</v>
      </c>
      <c r="P434" s="32">
        <f>1-EXP(O434-N434)</f>
        <v>0.18619816977858561</v>
      </c>
      <c r="Q434" s="53">
        <f>R433*(1-AF434*C$7)</f>
        <v>55</v>
      </c>
      <c r="R434" s="54">
        <f>Q434+E434</f>
        <v>124.66666666666667</v>
      </c>
      <c r="S434" s="16">
        <f>(R434/D$7)^E$7</f>
        <v>0.71648445673009076</v>
      </c>
      <c r="T434" s="16">
        <f>(Q434/D$7)^E$7</f>
        <v>9.8087748172662498E-2</v>
      </c>
      <c r="U434" s="35">
        <f>1-EXP(T434-S434)</f>
        <v>0.46119238891751968</v>
      </c>
      <c r="V434" s="55">
        <f>W433*(1-AG434*C$8)</f>
        <v>55</v>
      </c>
      <c r="W434" s="56">
        <f>V434+E434</f>
        <v>124.66666666666667</v>
      </c>
      <c r="X434" s="18">
        <f>(W434/D$8)^E$8</f>
        <v>3.9089951931753103E-2</v>
      </c>
      <c r="Y434" s="18">
        <f>(V434/D$8)^E$8</f>
        <v>4.9309927237744132E-3</v>
      </c>
      <c r="Z434" s="38">
        <f>1-EXP(Y434-X434)</f>
        <v>3.3582128592293481E-2</v>
      </c>
      <c r="AA434" s="41">
        <f>K434*P434*U434*Z434</f>
        <v>6.1228470695588017E-4</v>
      </c>
      <c r="AB434" s="42">
        <f>1-AA434</f>
        <v>0.99938771529304415</v>
      </c>
      <c r="AC434" s="47">
        <f>AF434*F$7+E434+AC433</f>
        <v>124.66666666666667</v>
      </c>
      <c r="AD434" s="43">
        <v>0</v>
      </c>
      <c r="AE434" s="1">
        <v>0</v>
      </c>
      <c r="AF434" s="1">
        <v>0</v>
      </c>
      <c r="AG434" s="1">
        <v>0</v>
      </c>
      <c r="AH434" s="74">
        <v>85</v>
      </c>
    </row>
    <row r="435" spans="1:34" x14ac:dyDescent="0.25">
      <c r="A435" s="24">
        <v>3</v>
      </c>
      <c r="B435" s="9">
        <v>5</v>
      </c>
      <c r="C435" s="58">
        <v>500</v>
      </c>
      <c r="D435" s="58">
        <v>4</v>
      </c>
      <c r="E435" s="48">
        <f t="shared" si="45"/>
        <v>45.666666666666664</v>
      </c>
      <c r="F435" s="100">
        <v>95</v>
      </c>
      <c r="G435" s="68">
        <f>H434*(1-AD435*C$5)</f>
        <v>87.266666666666666</v>
      </c>
      <c r="H435" s="69">
        <f>G435+E435</f>
        <v>132.93333333333334</v>
      </c>
      <c r="I435" s="70">
        <f>(H435/D$5)^E$5</f>
        <v>0.35219872941851332</v>
      </c>
      <c r="J435" s="70">
        <f>(G435/D$5)^E$5</f>
        <v>0.17004695403506842</v>
      </c>
      <c r="K435" s="29">
        <f>1-EXP(J435-I435)</f>
        <v>0.16652517014650903</v>
      </c>
      <c r="L435" s="51">
        <f>M434*(1-AE435*C$6)</f>
        <v>87.266666666666666</v>
      </c>
      <c r="M435" s="52">
        <f>L435+E435</f>
        <v>132.93333333333334</v>
      </c>
      <c r="N435" s="17">
        <f>(M435/D$6)^E$6</f>
        <v>0.29603586895842493</v>
      </c>
      <c r="O435" s="17">
        <f>(L435/D$6)^E$6</f>
        <v>0.13418611561976262</v>
      </c>
      <c r="P435" s="32">
        <f>1-EXP(O435-N435)</f>
        <v>0.14943100990868496</v>
      </c>
      <c r="Q435" s="53">
        <f>R434*(1-AF435*C$7)</f>
        <v>87.266666666666666</v>
      </c>
      <c r="R435" s="54">
        <f>Q435+E435</f>
        <v>132.93333333333334</v>
      </c>
      <c r="S435" s="16">
        <f>(R435/D$7)^E$7</f>
        <v>0.83745946166039797</v>
      </c>
      <c r="T435" s="16">
        <f>(Q435/D$7)^E$7</f>
        <v>0.30115842040528412</v>
      </c>
      <c r="U435" s="35">
        <f>1-EXP(T435-S435)</f>
        <v>0.41509219429478805</v>
      </c>
      <c r="V435" s="55">
        <f>W434*(1-AG435*C$8)</f>
        <v>87.266666666666666</v>
      </c>
      <c r="W435" s="56">
        <f>V435+E435</f>
        <v>132.93333333333334</v>
      </c>
      <c r="X435" s="18">
        <f>(W435/D$8)^E$8</f>
        <v>4.5984398642962332E-2</v>
      </c>
      <c r="Y435" s="18">
        <f>(V435/D$8)^E$8</f>
        <v>1.5854887968448601E-2</v>
      </c>
      <c r="Z435" s="38">
        <f>1-EXP(Y435-X435)</f>
        <v>2.9680141368823243E-2</v>
      </c>
      <c r="AA435" s="41">
        <f>K435*P435*U435*Z435</f>
        <v>3.065710557676546E-4</v>
      </c>
      <c r="AB435" s="42">
        <f>1-AA435</f>
        <v>0.9996934289442323</v>
      </c>
      <c r="AC435" s="47">
        <f>(AF435*F$7)+E435+AC434</f>
        <v>178.33333333333334</v>
      </c>
      <c r="AD435" s="77">
        <v>1</v>
      </c>
      <c r="AE435" s="78">
        <v>1</v>
      </c>
      <c r="AF435" s="78">
        <v>1</v>
      </c>
      <c r="AG435" s="78">
        <v>1</v>
      </c>
      <c r="AH435" s="74">
        <v>67</v>
      </c>
    </row>
    <row r="436" spans="1:34" ht="15.75" thickBot="1" x14ac:dyDescent="0.3">
      <c r="A436" s="57">
        <v>2</v>
      </c>
      <c r="B436" s="58">
        <v>9</v>
      </c>
      <c r="C436" s="58">
        <v>500</v>
      </c>
      <c r="D436" s="9">
        <v>2</v>
      </c>
      <c r="E436" s="48">
        <f t="shared" si="45"/>
        <v>77</v>
      </c>
      <c r="F436" s="100">
        <v>76</v>
      </c>
      <c r="G436" s="68">
        <f>H435*(1-AD436*C$5)</f>
        <v>93.053333333333327</v>
      </c>
      <c r="H436" s="69">
        <f>G436+E436</f>
        <v>170.05333333333334</v>
      </c>
      <c r="I436" s="70">
        <f>(H436/D$5)^E$5</f>
        <v>0.5392789330539719</v>
      </c>
      <c r="J436" s="70">
        <f>(G436/D$5)^E$5</f>
        <v>0.19002353548918979</v>
      </c>
      <c r="K436" s="29">
        <f>1-EXP(J436-I436)</f>
        <v>0.294787002414027</v>
      </c>
      <c r="L436" s="51">
        <f>M435*(1-AE436*C$6)</f>
        <v>93.053333333333327</v>
      </c>
      <c r="M436" s="52">
        <f>L436+E436</f>
        <v>170.05333333333334</v>
      </c>
      <c r="N436" s="17">
        <f>(M436/D$6)^E$6</f>
        <v>0.47034084314905283</v>
      </c>
      <c r="O436" s="17">
        <f>(L436/D$6)^E$6</f>
        <v>0.15140096749268256</v>
      </c>
      <c r="P436" s="32">
        <f>1-EXP(O436-N436)</f>
        <v>0.27308074646452829</v>
      </c>
      <c r="Q436" s="53">
        <f>R435*(1-AF436*C$7)</f>
        <v>93.053333333333327</v>
      </c>
      <c r="R436" s="54">
        <f>Q436+E436</f>
        <v>170.05333333333334</v>
      </c>
      <c r="S436" s="16">
        <f>(R436/D$7)^E$7</f>
        <v>1.5235451944421441</v>
      </c>
      <c r="T436" s="16">
        <f>(Q436/D$7)^E$7</f>
        <v>0.35200759243004098</v>
      </c>
      <c r="U436" s="35">
        <f>1-EXP(T436-S436)</f>
        <v>0.6901099128680086</v>
      </c>
      <c r="V436" s="55">
        <f>W435*(1-AG436*C$8)</f>
        <v>93.053333333333327</v>
      </c>
      <c r="W436" s="56">
        <f>V436+E436</f>
        <v>170.05333333333334</v>
      </c>
      <c r="X436" s="18">
        <f>(W436/D$8)^E$8</f>
        <v>8.5742705874645803E-2</v>
      </c>
      <c r="Y436" s="18">
        <f>(V436/D$8)^E$8</f>
        <v>1.8651276165638157E-2</v>
      </c>
      <c r="Z436" s="38">
        <f>1-EXP(Y436-X436)</f>
        <v>6.4890299379634642E-2</v>
      </c>
      <c r="AA436" s="41">
        <f>K436*P436*U436*Z436</f>
        <v>3.6049351444361359E-3</v>
      </c>
      <c r="AB436" s="42">
        <f>1-AA436</f>
        <v>0.99639506485556384</v>
      </c>
      <c r="AC436" s="47">
        <f>(AF436*F$7)+E436+AC435</f>
        <v>263.33333333333337</v>
      </c>
      <c r="AD436" s="80">
        <v>1</v>
      </c>
      <c r="AE436" s="45">
        <v>1</v>
      </c>
      <c r="AF436" s="81">
        <v>1</v>
      </c>
      <c r="AG436" s="45">
        <v>1</v>
      </c>
      <c r="AH436" s="94">
        <v>40</v>
      </c>
    </row>
    <row r="437" spans="1:34" ht="18.75" x14ac:dyDescent="0.3">
      <c r="A437" s="132" t="s">
        <v>53</v>
      </c>
      <c r="B437" s="132"/>
      <c r="C437" s="132"/>
      <c r="D437" s="132"/>
      <c r="E437" s="132"/>
      <c r="F437" s="132"/>
      <c r="G437" s="132"/>
      <c r="H437" s="132"/>
      <c r="I437" s="132"/>
      <c r="J437" s="132"/>
      <c r="AG437" s="46"/>
    </row>
    <row r="438" spans="1:34" ht="15.75" x14ac:dyDescent="0.25">
      <c r="A438" s="19" t="s">
        <v>58</v>
      </c>
      <c r="B438" s="60" t="s">
        <v>49</v>
      </c>
      <c r="C438" s="61" t="s">
        <v>50</v>
      </c>
      <c r="D438" s="19" t="s">
        <v>48</v>
      </c>
      <c r="E438" s="60" t="s">
        <v>57</v>
      </c>
      <c r="F438" s="61" t="s">
        <v>50</v>
      </c>
      <c r="G438" s="19" t="s">
        <v>82</v>
      </c>
      <c r="H438" s="60" t="s">
        <v>61</v>
      </c>
      <c r="I438" s="61" t="s">
        <v>50</v>
      </c>
      <c r="J438" s="19" t="s">
        <v>54</v>
      </c>
      <c r="K438" s="83" t="s">
        <v>84</v>
      </c>
      <c r="L438" s="61" t="s">
        <v>50</v>
      </c>
      <c r="M438" s="61" t="s">
        <v>85</v>
      </c>
      <c r="O438" s="174" t="s">
        <v>64</v>
      </c>
      <c r="P438" s="174"/>
      <c r="Q438" s="175" t="s">
        <v>109</v>
      </c>
      <c r="R438" s="175"/>
    </row>
    <row r="439" spans="1:34" ht="24.75" x14ac:dyDescent="0.25">
      <c r="A439" s="61" t="s">
        <v>51</v>
      </c>
      <c r="B439" s="1">
        <f>AA433</f>
        <v>1.8543515323034395E-6</v>
      </c>
      <c r="C439" s="59">
        <f>MAX(AC433+1*L426-F433,0)</f>
        <v>0</v>
      </c>
      <c r="D439" s="62" t="s">
        <v>55</v>
      </c>
      <c r="E439" s="1">
        <f>AA433*AA434</f>
        <v>1.1353910845495988E-9</v>
      </c>
      <c r="F439" s="1">
        <f>MAX(AC434+2*L426-F434,0)</f>
        <v>8.6666666666666856</v>
      </c>
      <c r="G439" s="62" t="s">
        <v>59</v>
      </c>
      <c r="H439" s="1">
        <f>AA433*AA434*AA435</f>
        <v>3.4807804349955289E-13</v>
      </c>
      <c r="I439" s="1">
        <f>AC435+3*L426-F435</f>
        <v>119.33333333333334</v>
      </c>
      <c r="J439" s="62" t="s">
        <v>83</v>
      </c>
      <c r="K439" s="1">
        <f>AA433*AA434*AA435*AA436</f>
        <v>1.2547987720181084E-15</v>
      </c>
      <c r="L439" s="1">
        <f>AC436+4*L426-F436</f>
        <v>235.33333333333337</v>
      </c>
      <c r="M439" s="1">
        <f>B439*C439*AH433+E439*F439*AH434+H439*I439*AH435+K439*L439*AH436</f>
        <v>8.3919957744110702E-7</v>
      </c>
      <c r="O439" s="1" t="s">
        <v>27</v>
      </c>
      <c r="P439" s="1">
        <f>2*H424</f>
        <v>3640</v>
      </c>
      <c r="Q439" s="1">
        <f>(K433*(1-P433)*(1-U433)*(1-Z433))+(P433*(1-K433)*(1-U433)*(1-Z433))+(U433*(1-K433)*(1-P433)*(1-Z433))+(Z433*(1-K433)*(1-P433)*(1-U433))</f>
        <v>0.19389466846386108</v>
      </c>
      <c r="R439" s="1">
        <f>Q439*(L$7*(J$5*K$5+L$5)+I$5)</f>
        <v>6833.8175900087836</v>
      </c>
    </row>
    <row r="440" spans="1:34" ht="24.75" x14ac:dyDescent="0.25">
      <c r="A440" s="62" t="s">
        <v>52</v>
      </c>
      <c r="B440" s="1">
        <f>AB433</f>
        <v>0.99999814564846767</v>
      </c>
      <c r="C440" s="59">
        <f>MAX(AC433-F433,0)</f>
        <v>0</v>
      </c>
      <c r="D440" s="62" t="s">
        <v>56</v>
      </c>
      <c r="E440" s="1">
        <f>AA433*AB434+AA434*AB433</f>
        <v>6.141367877060145E-4</v>
      </c>
      <c r="F440" s="1">
        <f>MAX(AC434+1*L426-F434,0)</f>
        <v>0</v>
      </c>
      <c r="G440" s="62" t="s">
        <v>60</v>
      </c>
      <c r="H440" s="1">
        <f>AA433*AA434*AB435+AA434*AA435*AB433+AA433*AA435*AB434</f>
        <v>1.8941160639929493E-7</v>
      </c>
      <c r="I440" s="1">
        <f>AC435+2*L426-F435</f>
        <v>107.33333333333334</v>
      </c>
      <c r="J440" s="62" t="s">
        <v>59</v>
      </c>
      <c r="K440">
        <f>AB433*AA434*AA435*AA436+AB434*AA433*AA435*AA436*+AB435*AA433*AA434*AA436+AB436*AA433*AA434*AA435</f>
        <v>6.7702350688378618E-10</v>
      </c>
      <c r="L440" s="1">
        <f>AC436+3*L426-F436</f>
        <v>223.33333333333337</v>
      </c>
      <c r="M440" s="1">
        <f>B440*C440*AH433+E440*F440*AH434+H440*I440*AH435+K440*L440*AH436</f>
        <v>1.3681700754809582E-3</v>
      </c>
      <c r="O440" s="1" t="s">
        <v>28</v>
      </c>
      <c r="P440" s="1">
        <f>2*H425</f>
        <v>5440</v>
      </c>
      <c r="Q440" s="1">
        <f t="shared" ref="Q440:Q442" si="46">(K434*(1-P434)*(1-U434)*(1-Z434))+(P434*(1-K434)*(1-U434)*(1-Z434))+(U434*(1-K434)*(1-P434)*(1-Z434))+(Z434*(1-K434)*(1-P434)*(1-U434))</f>
        <v>0.46364468761225525</v>
      </c>
      <c r="R440" s="1">
        <f t="shared" ref="R440:R442" si="47">Q440*(L$7*(J$5*K$5+L$5)+I$5)</f>
        <v>16341.157014893935</v>
      </c>
    </row>
    <row r="441" spans="1:34" ht="24.75" x14ac:dyDescent="0.25">
      <c r="A441" s="1"/>
      <c r="B441" s="1"/>
      <c r="C441" s="1"/>
      <c r="D441" s="62" t="s">
        <v>52</v>
      </c>
      <c r="E441" s="1">
        <f>AB433*AB434</f>
        <v>0.99938586207690294</v>
      </c>
      <c r="F441" s="59">
        <f>MAX(AC434-F434,0)</f>
        <v>0</v>
      </c>
      <c r="G441" s="62" t="s">
        <v>56</v>
      </c>
      <c r="H441" s="1">
        <f>AA433*AB434*AB435+AA434*AB433*AB435*+AA435*AB433*AB434</f>
        <v>2.040183630266292E-6</v>
      </c>
      <c r="I441" s="1">
        <f>AC435+1*L426-F435</f>
        <v>95.333333333333343</v>
      </c>
      <c r="J441" s="62" t="s">
        <v>60</v>
      </c>
      <c r="K441" s="1">
        <f>AA433*AA434*AB435*AB436 + AA433*AA435*AB434*AB436 + AA433*AA436*AB434*AB435 + AA434*AA435*AB433*AB436 + AA434*AA436*AB433*AB435 + AA435*AA436*AB433*AB434</f>
        <v>3.506463401683561E-6</v>
      </c>
      <c r="L441" s="1">
        <f>AC436+2*L426-F436</f>
        <v>211.33333333333337</v>
      </c>
      <c r="M441" s="1">
        <f>B441*C441*AH433+E441*F441*AH434+H441*I441*AH435+K441*L441*AH436</f>
        <v>4.2672636863285936E-2</v>
      </c>
      <c r="O441" s="1" t="s">
        <v>29</v>
      </c>
      <c r="P441" s="1">
        <f>2*(F426*(J424*K424+L424)+H426)</f>
        <v>28200</v>
      </c>
      <c r="Q441" s="1">
        <f t="shared" si="46"/>
        <v>0.44891796901450087</v>
      </c>
      <c r="R441" s="1">
        <f t="shared" si="47"/>
        <v>15822.113817916083</v>
      </c>
    </row>
    <row r="442" spans="1:34" ht="24.75" x14ac:dyDescent="0.25">
      <c r="A442" s="1"/>
      <c r="B442" s="1"/>
      <c r="C442" s="1"/>
      <c r="D442" s="1"/>
      <c r="E442" s="1"/>
      <c r="F442" s="1"/>
      <c r="G442" s="62" t="s">
        <v>52</v>
      </c>
      <c r="H442" s="1">
        <f>AB433*AB434*AB435</f>
        <v>0.99907947929804675</v>
      </c>
      <c r="I442" s="63">
        <f>AC435-F435</f>
        <v>83.333333333333343</v>
      </c>
      <c r="J442" s="62" t="s">
        <v>56</v>
      </c>
      <c r="K442" s="1">
        <f>AA433*AB434*AB435*AB436+AA434*AB433*AB435*AB436+AA435*AB433*AB434*AB436+AA436*AB433*AB434*AB435</f>
        <v>4.5186302823934481E-3</v>
      </c>
      <c r="L442" s="1">
        <f>AC436+1*L426-F436</f>
        <v>199.33333333333337</v>
      </c>
      <c r="M442" s="1">
        <f>B442*C442*AH433+E442*F442*AH434+H442*I442*AH435+K442*L442*AH436</f>
        <v>5614.2223048657115</v>
      </c>
      <c r="O442" s="1" t="s">
        <v>30</v>
      </c>
      <c r="P442" s="1">
        <f>2*H427</f>
        <v>8640</v>
      </c>
      <c r="Q442" s="1">
        <f t="shared" si="46"/>
        <v>0.45902733034332222</v>
      </c>
      <c r="R442" s="1">
        <f t="shared" si="47"/>
        <v>16178.418257950392</v>
      </c>
    </row>
    <row r="443" spans="1:34" ht="30" x14ac:dyDescent="0.25">
      <c r="I443" s="84"/>
      <c r="J443" s="62" t="s">
        <v>52</v>
      </c>
      <c r="K443" s="85">
        <f>AB433*AB434*AB435*AB436</f>
        <v>0.99547786257104021</v>
      </c>
      <c r="L443" s="1">
        <f>AC436+0*L426-F436</f>
        <v>187.33333333333337</v>
      </c>
      <c r="M443" s="1">
        <f>B443*C443*AH433+E443*F443*AH434+H443*I443*AH435+K443*L443*AH436</f>
        <v>7459.4474501989962</v>
      </c>
      <c r="O443" s="64" t="s">
        <v>65</v>
      </c>
      <c r="P443" s="65">
        <f>SUM(P439:P442)</f>
        <v>45920</v>
      </c>
      <c r="Q443" s="96" t="s">
        <v>108</v>
      </c>
      <c r="R443" s="97">
        <f>SUM(R439:R442)</f>
        <v>55175.506680769191</v>
      </c>
    </row>
    <row r="444" spans="1:34" x14ac:dyDescent="0.25">
      <c r="L444" s="176" t="s">
        <v>63</v>
      </c>
      <c r="M444" s="177">
        <f>SUM(M439:M443)</f>
        <v>13073.713796710847</v>
      </c>
    </row>
    <row r="445" spans="1:34" x14ac:dyDescent="0.25">
      <c r="L445" s="176"/>
      <c r="M445" s="177"/>
    </row>
    <row r="446" spans="1:34" x14ac:dyDescent="0.25">
      <c r="A446" s="178" t="s">
        <v>90</v>
      </c>
      <c r="B446" s="178"/>
      <c r="C446" s="178"/>
      <c r="D446" s="178"/>
      <c r="E446" s="178"/>
      <c r="F446" s="178"/>
      <c r="G446" s="178"/>
      <c r="H446" s="178"/>
      <c r="I446" s="178"/>
      <c r="J446" s="178"/>
      <c r="K446" s="178"/>
      <c r="L446" s="178"/>
      <c r="M446" s="178"/>
      <c r="N446" s="178"/>
    </row>
    <row r="447" spans="1:34" ht="15.75" x14ac:dyDescent="0.25">
      <c r="A447" s="87" t="s">
        <v>77</v>
      </c>
      <c r="B447" s="62" t="s">
        <v>49</v>
      </c>
      <c r="C447" s="90" t="s">
        <v>78</v>
      </c>
      <c r="D447" s="62" t="s">
        <v>88</v>
      </c>
      <c r="E447" s="87" t="s">
        <v>75</v>
      </c>
      <c r="F447" s="62" t="s">
        <v>57</v>
      </c>
      <c r="G447" s="90" t="s">
        <v>87</v>
      </c>
      <c r="H447" s="62" t="s">
        <v>88</v>
      </c>
      <c r="I447" s="87" t="s">
        <v>86</v>
      </c>
      <c r="J447" s="62" t="s">
        <v>61</v>
      </c>
      <c r="K447" s="90" t="s">
        <v>103</v>
      </c>
      <c r="L447" s="62" t="s">
        <v>88</v>
      </c>
      <c r="M447" s="87" t="s">
        <v>76</v>
      </c>
      <c r="N447" s="62" t="s">
        <v>84</v>
      </c>
      <c r="O447" s="90" t="s">
        <v>102</v>
      </c>
      <c r="P447" s="62" t="s">
        <v>88</v>
      </c>
    </row>
    <row r="448" spans="1:34" ht="24.75" x14ac:dyDescent="0.25">
      <c r="A448" s="62" t="s">
        <v>51</v>
      </c>
      <c r="B448" s="86">
        <v>1.8543515323034395E-6</v>
      </c>
      <c r="C448" s="86">
        <f>AC433+1*L426</f>
        <v>67</v>
      </c>
      <c r="D448" s="86">
        <f>MAX(B448*1.5*((C448-F433)*500/2),0)</f>
        <v>0</v>
      </c>
      <c r="E448" s="62" t="s">
        <v>55</v>
      </c>
      <c r="F448" s="86">
        <v>1.1353910845495988E-9</v>
      </c>
      <c r="G448" s="86">
        <f>AC434+2*L426</f>
        <v>148.66666666666669</v>
      </c>
      <c r="H448" s="86">
        <f>F448*1.5*((G448-F434)*500/2+(G448-F435)*500+(G448-F436)*500)</f>
        <v>1.1126832628586072E-4</v>
      </c>
      <c r="I448" s="62" t="s">
        <v>59</v>
      </c>
      <c r="J448" s="86">
        <v>3.4807804349955289E-13</v>
      </c>
      <c r="K448" s="86">
        <f>AC435+3*L426</f>
        <v>214.33333333333334</v>
      </c>
      <c r="L448" s="86">
        <f>J448*1.5*((K448-G448)*500/2+(K448-G448)*500)</f>
        <v>2.5714265463529466E-8</v>
      </c>
      <c r="M448" s="62" t="s">
        <v>83</v>
      </c>
      <c r="N448" s="86">
        <v>1.2547987720181084E-15</v>
      </c>
      <c r="O448" s="86">
        <f>AC436+4*L426</f>
        <v>311.33333333333337</v>
      </c>
      <c r="P448" s="86">
        <f>N448*1.5*((O448-K448)*500/2)</f>
        <v>4.564330533215871E-11</v>
      </c>
    </row>
    <row r="449" spans="1:22" ht="24.75" x14ac:dyDescent="0.25">
      <c r="A449" s="62" t="s">
        <v>52</v>
      </c>
      <c r="B449" s="86">
        <v>0.99999814564846767</v>
      </c>
      <c r="C449" s="88">
        <f>AC433</f>
        <v>55</v>
      </c>
      <c r="D449" s="86">
        <f>MAX(B449*1.5*((C449-F433)*500/2),0)</f>
        <v>0</v>
      </c>
      <c r="E449" s="62" t="s">
        <v>56</v>
      </c>
      <c r="F449" s="86">
        <v>6.141367877060145E-4</v>
      </c>
      <c r="G449" s="86">
        <f>AC434+1*L426</f>
        <v>136.66666666666669</v>
      </c>
      <c r="H449" s="86">
        <f>F449*1.5*((G449-F435)*500+(G449-F436)*500)</f>
        <v>47.134998456436634</v>
      </c>
      <c r="I449" s="62" t="s">
        <v>60</v>
      </c>
      <c r="J449" s="86">
        <v>1.8941160639929493E-7</v>
      </c>
      <c r="K449" s="86">
        <f>AC435+2*L426</f>
        <v>202.33333333333334</v>
      </c>
      <c r="L449" s="86">
        <f>J449*1.5*((K449-G449)*500/2+(K449-G449)*500)</f>
        <v>1.3992782422747912E-2</v>
      </c>
      <c r="M449" s="62" t="s">
        <v>59</v>
      </c>
      <c r="N449" s="86">
        <v>6.7702350688378618E-10</v>
      </c>
      <c r="O449" s="86">
        <f>AC436+3*L426</f>
        <v>299.33333333333337</v>
      </c>
      <c r="P449" s="86">
        <f>N449*1.5*((O449-K449)*500/2)</f>
        <v>2.4626730062897727E-5</v>
      </c>
    </row>
    <row r="450" spans="1:22" x14ac:dyDescent="0.25">
      <c r="A450" s="86"/>
      <c r="B450" s="86"/>
      <c r="C450" s="89" t="s">
        <v>89</v>
      </c>
      <c r="D450" s="89">
        <f>SUM(D448:D449)</f>
        <v>0</v>
      </c>
      <c r="E450" s="62" t="s">
        <v>52</v>
      </c>
      <c r="F450" s="86">
        <v>0.99938586207690294</v>
      </c>
      <c r="G450" s="86">
        <f>AC434+0*L426</f>
        <v>124.66666666666667</v>
      </c>
      <c r="H450" s="86">
        <f>F450*1.5*((G450-F435)*500+(G450-F436)*500)</f>
        <v>58713.919397018057</v>
      </c>
      <c r="I450" s="62" t="s">
        <v>56</v>
      </c>
      <c r="J450" s="86">
        <v>2.040183630266292E-6</v>
      </c>
      <c r="K450" s="86">
        <f>AC435+1*L426</f>
        <v>190.33333333333334</v>
      </c>
      <c r="L450" s="86">
        <f>J450*1.5*((K450-G450)*500/2+(K450-G450)*500)</f>
        <v>0.15071856568592232</v>
      </c>
      <c r="M450" s="62" t="s">
        <v>60</v>
      </c>
      <c r="N450" s="86">
        <v>3.506463401683561E-6</v>
      </c>
      <c r="O450" s="86">
        <f>AC436+2*L426</f>
        <v>287.33333333333337</v>
      </c>
      <c r="P450" s="86">
        <f>N450*1.5*((O450-K450)*500/2)</f>
        <v>0.12754760623623956</v>
      </c>
    </row>
    <row r="451" spans="1:22" x14ac:dyDescent="0.25">
      <c r="A451" s="86"/>
      <c r="B451" s="86"/>
      <c r="C451" s="86"/>
      <c r="D451" s="86"/>
      <c r="E451" s="86"/>
      <c r="F451" s="86"/>
      <c r="G451" s="89" t="s">
        <v>79</v>
      </c>
      <c r="H451" s="89">
        <f>SUM(H448:H450)</f>
        <v>58761.054506742817</v>
      </c>
      <c r="I451" s="62" t="s">
        <v>52</v>
      </c>
      <c r="J451" s="86">
        <v>0.99907947929804675</v>
      </c>
      <c r="K451" s="86">
        <f>AC435+0*L426</f>
        <v>178.33333333333334</v>
      </c>
      <c r="L451" s="86">
        <f>J451*1.5*((K451-G450)*500/2+(K451-G450)*500)</f>
        <v>60319.423562619573</v>
      </c>
      <c r="M451" s="62" t="s">
        <v>56</v>
      </c>
      <c r="N451" s="86">
        <v>4.5186302823934481E-3</v>
      </c>
      <c r="O451" s="86">
        <f>AC436+1*L426</f>
        <v>275.33333333333337</v>
      </c>
      <c r="P451" s="86">
        <f>N451*1.5*((O451-K451)*500/2)</f>
        <v>164.36517652206172</v>
      </c>
    </row>
    <row r="452" spans="1:22" x14ac:dyDescent="0.25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9" t="s">
        <v>79</v>
      </c>
      <c r="L452" s="89">
        <f>SUM(L448:L451)</f>
        <v>60319.588273993395</v>
      </c>
      <c r="M452" s="62" t="s">
        <v>52</v>
      </c>
      <c r="N452" s="86">
        <v>0.99547786257104021</v>
      </c>
      <c r="O452" s="86">
        <f>AC436+0*L426</f>
        <v>263.33333333333337</v>
      </c>
      <c r="P452" s="86">
        <f>N452*1.5*((O452-K451)*500/2)</f>
        <v>31730.85686945192</v>
      </c>
      <c r="Q452" s="179" t="s">
        <v>80</v>
      </c>
      <c r="R452" s="179"/>
      <c r="S452" s="180">
        <f>D450+H451+L452+P453</f>
        <v>150975.9923989432</v>
      </c>
      <c r="T452" s="180"/>
    </row>
    <row r="453" spans="1:22" x14ac:dyDescent="0.25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9" t="s">
        <v>79</v>
      </c>
      <c r="P453" s="89">
        <f>SUM(P448:P452)</f>
        <v>31895.349618206994</v>
      </c>
      <c r="Q453" s="179"/>
      <c r="R453" s="179"/>
      <c r="S453" s="180"/>
      <c r="T453" s="180"/>
    </row>
    <row r="454" spans="1:22" x14ac:dyDescent="0.25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</row>
    <row r="455" spans="1:22" x14ac:dyDescent="0.25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</row>
    <row r="456" spans="1:22" x14ac:dyDescent="0.25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</row>
    <row r="457" spans="1:22" ht="24.75" thickBot="1" x14ac:dyDescent="0.3">
      <c r="O457" s="131" t="s">
        <v>81</v>
      </c>
      <c r="P457" s="131"/>
      <c r="Q457" s="131">
        <f>(R443+P443+M444+S452)/AC436</f>
        <v>1006.8805552269237</v>
      </c>
      <c r="R457" s="131"/>
    </row>
    <row r="458" spans="1:22" x14ac:dyDescent="0.25">
      <c r="A458" s="181" t="s">
        <v>117</v>
      </c>
      <c r="B458" s="182"/>
    </row>
    <row r="459" spans="1:22" ht="15.75" thickBot="1" x14ac:dyDescent="0.3">
      <c r="A459" s="183"/>
      <c r="B459" s="184"/>
    </row>
    <row r="460" spans="1:22" ht="21" x14ac:dyDescent="0.35">
      <c r="A460" s="185" t="s">
        <v>14</v>
      </c>
      <c r="B460" s="185"/>
      <c r="C460" s="165"/>
      <c r="D460" s="165"/>
      <c r="E460" s="165"/>
      <c r="F460" s="165"/>
      <c r="G460" s="165"/>
      <c r="H460" s="165"/>
      <c r="I460" s="165"/>
      <c r="J460" s="165"/>
      <c r="K460" s="165"/>
      <c r="L460" s="165"/>
      <c r="M460" s="165"/>
      <c r="O460" s="166" t="s">
        <v>72</v>
      </c>
      <c r="P460" s="166"/>
      <c r="Q460" s="166"/>
      <c r="R460" s="166"/>
      <c r="S460" s="166"/>
      <c r="T460" s="166"/>
      <c r="U460" s="166"/>
      <c r="V460" s="166"/>
    </row>
    <row r="461" spans="1:22" ht="36" x14ac:dyDescent="0.25">
      <c r="A461" s="4" t="s">
        <v>15</v>
      </c>
      <c r="B461" s="4" t="s">
        <v>16</v>
      </c>
      <c r="C461" s="4" t="s">
        <v>31</v>
      </c>
      <c r="D461" s="6" t="s">
        <v>17</v>
      </c>
      <c r="E461" s="6" t="s">
        <v>18</v>
      </c>
      <c r="F461" s="6" t="s">
        <v>19</v>
      </c>
      <c r="G461" s="6" t="s">
        <v>20</v>
      </c>
      <c r="H461" s="6" t="s">
        <v>21</v>
      </c>
      <c r="I461" s="6" t="s">
        <v>22</v>
      </c>
      <c r="J461" s="6" t="s">
        <v>23</v>
      </c>
      <c r="K461" s="6" t="s">
        <v>24</v>
      </c>
      <c r="L461" s="6" t="s">
        <v>25</v>
      </c>
      <c r="M461" s="6" t="s">
        <v>26</v>
      </c>
      <c r="N461" s="8"/>
      <c r="O461" s="167" t="s">
        <v>32</v>
      </c>
      <c r="P461" s="167" t="s">
        <v>35</v>
      </c>
      <c r="Q461" s="167" t="s">
        <v>66</v>
      </c>
      <c r="R461" s="99" t="s">
        <v>67</v>
      </c>
      <c r="S461" s="99" t="s">
        <v>68</v>
      </c>
      <c r="T461" s="167" t="s">
        <v>69</v>
      </c>
      <c r="U461" s="71" t="s">
        <v>33</v>
      </c>
      <c r="V461" s="99" t="s">
        <v>70</v>
      </c>
    </row>
    <row r="462" spans="1:22" x14ac:dyDescent="0.25">
      <c r="A462" s="3" t="s">
        <v>27</v>
      </c>
      <c r="B462" s="3">
        <v>0</v>
      </c>
      <c r="C462" s="3">
        <v>0.3</v>
      </c>
      <c r="D462" s="3">
        <v>243</v>
      </c>
      <c r="E462" s="3">
        <v>1.73</v>
      </c>
      <c r="F462" s="3">
        <v>5</v>
      </c>
      <c r="G462" s="169">
        <v>12</v>
      </c>
      <c r="H462" s="3">
        <v>1820</v>
      </c>
      <c r="I462" s="169">
        <v>19645</v>
      </c>
      <c r="J462" s="3">
        <v>20</v>
      </c>
      <c r="K462" s="3">
        <v>40</v>
      </c>
      <c r="L462" s="3">
        <v>500</v>
      </c>
      <c r="M462" s="3">
        <v>1000</v>
      </c>
      <c r="O462" s="168"/>
      <c r="P462" s="168"/>
      <c r="Q462" s="168"/>
      <c r="R462" s="72" t="s">
        <v>71</v>
      </c>
      <c r="S462" s="72" t="s">
        <v>71</v>
      </c>
      <c r="T462" s="168"/>
      <c r="U462" s="73">
        <v>500</v>
      </c>
      <c r="V462" s="3">
        <v>1.5</v>
      </c>
    </row>
    <row r="463" spans="1:22" x14ac:dyDescent="0.25">
      <c r="A463" s="3" t="s">
        <v>28</v>
      </c>
      <c r="B463" s="3">
        <v>0</v>
      </c>
      <c r="C463" s="3">
        <v>0.3</v>
      </c>
      <c r="D463" s="3">
        <v>254</v>
      </c>
      <c r="E463" s="3">
        <v>1.88</v>
      </c>
      <c r="F463" s="3">
        <v>3</v>
      </c>
      <c r="G463" s="170"/>
      <c r="H463" s="3">
        <v>2720</v>
      </c>
      <c r="I463" s="170"/>
      <c r="J463" s="5"/>
      <c r="K463" s="5"/>
      <c r="L463" s="5"/>
      <c r="M463" s="5"/>
      <c r="O463" s="74">
        <v>1</v>
      </c>
      <c r="P463" s="74">
        <v>106</v>
      </c>
      <c r="Q463" s="74">
        <v>110</v>
      </c>
      <c r="R463" s="74">
        <v>6</v>
      </c>
      <c r="S463" s="74">
        <v>5</v>
      </c>
      <c r="T463" s="74">
        <f>R463*$U$5/60+S463</f>
        <v>55</v>
      </c>
      <c r="U463" s="75"/>
    </row>
    <row r="464" spans="1:22" x14ac:dyDescent="0.25">
      <c r="A464" s="3" t="s">
        <v>29</v>
      </c>
      <c r="B464" s="3">
        <v>0</v>
      </c>
      <c r="C464" s="3">
        <v>0.3</v>
      </c>
      <c r="D464" s="3">
        <v>143</v>
      </c>
      <c r="E464" s="3">
        <v>2.4300000000000002</v>
      </c>
      <c r="F464" s="3">
        <v>8</v>
      </c>
      <c r="G464" s="170"/>
      <c r="H464" s="3">
        <v>3700</v>
      </c>
      <c r="I464" s="170"/>
      <c r="J464" s="5"/>
      <c r="K464" s="140" t="s">
        <v>73</v>
      </c>
      <c r="L464" s="141">
        <v>12</v>
      </c>
      <c r="M464" s="140" t="s">
        <v>74</v>
      </c>
      <c r="N464" s="141">
        <v>19645</v>
      </c>
      <c r="O464" s="74">
        <v>2</v>
      </c>
      <c r="P464" s="74">
        <v>76</v>
      </c>
      <c r="Q464" s="74">
        <v>40</v>
      </c>
      <c r="R464" s="74">
        <v>9</v>
      </c>
      <c r="S464" s="74">
        <v>2</v>
      </c>
      <c r="T464" s="74">
        <f t="shared" ref="T464:T466" si="48">R464*$U$5/60+S464</f>
        <v>77</v>
      </c>
      <c r="U464" s="75"/>
    </row>
    <row r="465" spans="1:34" x14ac:dyDescent="0.25">
      <c r="A465" s="3" t="s">
        <v>30</v>
      </c>
      <c r="B465" s="3">
        <v>0</v>
      </c>
      <c r="C465" s="3">
        <v>0.3</v>
      </c>
      <c r="D465" s="3">
        <v>449</v>
      </c>
      <c r="E465" s="3">
        <v>2.5299999999999998</v>
      </c>
      <c r="F465" s="3">
        <v>4</v>
      </c>
      <c r="G465" s="171"/>
      <c r="H465" s="3">
        <v>4320</v>
      </c>
      <c r="I465" s="171"/>
      <c r="J465" s="5"/>
      <c r="K465" s="140"/>
      <c r="L465" s="141"/>
      <c r="M465" s="140"/>
      <c r="N465" s="141"/>
      <c r="O465" s="74">
        <v>3</v>
      </c>
      <c r="P465" s="74">
        <v>95</v>
      </c>
      <c r="Q465" s="74">
        <v>67</v>
      </c>
      <c r="R465" s="74">
        <v>5</v>
      </c>
      <c r="S465" s="74">
        <v>4</v>
      </c>
      <c r="T465" s="74">
        <f t="shared" si="48"/>
        <v>45.666666666666664</v>
      </c>
      <c r="U465" s="75"/>
    </row>
    <row r="466" spans="1:34" ht="15.75" thickBo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O466" s="74">
        <v>4</v>
      </c>
      <c r="P466" s="74">
        <v>140</v>
      </c>
      <c r="Q466" s="94">
        <v>85</v>
      </c>
      <c r="R466" s="94">
        <v>8</v>
      </c>
      <c r="S466" s="94">
        <v>3</v>
      </c>
      <c r="T466" s="74">
        <f t="shared" si="48"/>
        <v>69.666666666666671</v>
      </c>
    </row>
    <row r="467" spans="1:34" ht="15" customHeight="1" x14ac:dyDescent="0.25">
      <c r="A467" s="142" t="s">
        <v>100</v>
      </c>
      <c r="B467" s="144" t="s">
        <v>129</v>
      </c>
      <c r="C467" s="144"/>
      <c r="D467" s="144"/>
      <c r="E467" s="144"/>
      <c r="F467" s="20" t="s">
        <v>27</v>
      </c>
      <c r="G467" s="20" t="s">
        <v>28</v>
      </c>
      <c r="H467" s="20" t="s">
        <v>29</v>
      </c>
      <c r="I467" s="20" t="s">
        <v>30</v>
      </c>
    </row>
    <row r="468" spans="1:34" ht="15.75" customHeight="1" thickBot="1" x14ac:dyDescent="0.3">
      <c r="A468" s="143"/>
      <c r="B468" s="145"/>
      <c r="C468" s="145"/>
      <c r="D468" s="145"/>
      <c r="E468" s="145"/>
      <c r="F468" s="20">
        <v>91</v>
      </c>
      <c r="G468" s="26">
        <v>91</v>
      </c>
      <c r="H468" s="26">
        <v>91</v>
      </c>
      <c r="I468" s="26">
        <v>91</v>
      </c>
    </row>
    <row r="469" spans="1:34" ht="15.75" customHeight="1" thickBot="1" x14ac:dyDescent="0.3">
      <c r="A469" s="143"/>
      <c r="B469" s="145"/>
      <c r="C469" s="145"/>
      <c r="D469" s="145"/>
      <c r="E469" s="145"/>
      <c r="F469" s="7"/>
      <c r="G469" s="146" t="s">
        <v>27</v>
      </c>
      <c r="H469" s="147"/>
      <c r="I469" s="147"/>
      <c r="J469" s="147"/>
      <c r="K469" s="148"/>
      <c r="L469" s="149" t="s">
        <v>28</v>
      </c>
      <c r="M469" s="150"/>
      <c r="N469" s="150"/>
      <c r="O469" s="150"/>
      <c r="P469" s="151"/>
      <c r="Q469" s="152" t="s">
        <v>29</v>
      </c>
      <c r="R469" s="153"/>
      <c r="S469" s="153"/>
      <c r="T469" s="153"/>
      <c r="U469" s="154"/>
      <c r="V469" s="155" t="s">
        <v>30</v>
      </c>
      <c r="W469" s="156"/>
      <c r="X469" s="156"/>
      <c r="Y469" s="156"/>
      <c r="Z469" s="157"/>
      <c r="AA469" s="158" t="s">
        <v>42</v>
      </c>
      <c r="AB469" s="159"/>
      <c r="AC469" s="160" t="s">
        <v>44</v>
      </c>
      <c r="AD469" s="162" t="s">
        <v>47</v>
      </c>
      <c r="AE469" s="163"/>
      <c r="AF469" s="163"/>
      <c r="AG469" s="164"/>
      <c r="AH469" s="138" t="s">
        <v>62</v>
      </c>
    </row>
    <row r="470" spans="1:34" ht="36.75" x14ac:dyDescent="0.25">
      <c r="A470" s="21" t="s">
        <v>32</v>
      </c>
      <c r="B470" s="22" t="s">
        <v>37</v>
      </c>
      <c r="C470" s="23" t="s">
        <v>33</v>
      </c>
      <c r="D470" s="22" t="s">
        <v>38</v>
      </c>
      <c r="E470" s="22" t="s">
        <v>34</v>
      </c>
      <c r="F470" s="25" t="s">
        <v>35</v>
      </c>
      <c r="G470" s="27" t="s">
        <v>39</v>
      </c>
      <c r="H470" s="10" t="s">
        <v>40</v>
      </c>
      <c r="I470" s="10" t="s">
        <v>45</v>
      </c>
      <c r="J470" s="10" t="s">
        <v>46</v>
      </c>
      <c r="K470" s="28" t="s">
        <v>41</v>
      </c>
      <c r="L470" s="30" t="s">
        <v>39</v>
      </c>
      <c r="M470" s="13" t="s">
        <v>40</v>
      </c>
      <c r="N470" s="13" t="s">
        <v>45</v>
      </c>
      <c r="O470" s="13" t="s">
        <v>46</v>
      </c>
      <c r="P470" s="31" t="s">
        <v>41</v>
      </c>
      <c r="Q470" s="33" t="s">
        <v>39</v>
      </c>
      <c r="R470" s="12" t="s">
        <v>40</v>
      </c>
      <c r="S470" s="12" t="s">
        <v>45</v>
      </c>
      <c r="T470" s="12" t="s">
        <v>46</v>
      </c>
      <c r="U470" s="34" t="s">
        <v>41</v>
      </c>
      <c r="V470" s="36" t="s">
        <v>39</v>
      </c>
      <c r="W470" s="11" t="s">
        <v>40</v>
      </c>
      <c r="X470" s="11" t="s">
        <v>45</v>
      </c>
      <c r="Y470" s="11" t="s">
        <v>46</v>
      </c>
      <c r="Z470" s="37" t="s">
        <v>41</v>
      </c>
      <c r="AA470" s="39" t="s">
        <v>41</v>
      </c>
      <c r="AB470" s="40" t="s">
        <v>43</v>
      </c>
      <c r="AC470" s="161"/>
      <c r="AD470" s="43" t="s">
        <v>27</v>
      </c>
      <c r="AE470" s="1" t="s">
        <v>28</v>
      </c>
      <c r="AF470" s="1" t="s">
        <v>29</v>
      </c>
      <c r="AG470" s="1" t="s">
        <v>30</v>
      </c>
      <c r="AH470" s="139"/>
    </row>
    <row r="471" spans="1:34" x14ac:dyDescent="0.25">
      <c r="A471" s="24">
        <v>2</v>
      </c>
      <c r="B471" s="9">
        <v>9</v>
      </c>
      <c r="C471" s="9">
        <v>500</v>
      </c>
      <c r="D471" s="9">
        <v>2</v>
      </c>
      <c r="E471" s="48">
        <f>B471*C471/60+D471</f>
        <v>77</v>
      </c>
      <c r="F471" s="100">
        <v>76</v>
      </c>
      <c r="G471" s="49">
        <f>B$5*(1-AD471*C$5)</f>
        <v>0</v>
      </c>
      <c r="H471" s="50">
        <f>G471+E471</f>
        <v>77</v>
      </c>
      <c r="I471" s="15">
        <f>(H471/D$5)^E$5</f>
        <v>0.13693992990275231</v>
      </c>
      <c r="J471" s="15">
        <f>(G471/D$5)^E$5</f>
        <v>0</v>
      </c>
      <c r="K471" s="29">
        <f>1-EXP(J471-I471)</f>
        <v>0.1279773929583623</v>
      </c>
      <c r="L471" s="51">
        <f>B$6*(1-AE471*C$6)</f>
        <v>0</v>
      </c>
      <c r="M471" s="52">
        <f>L471+E471</f>
        <v>77</v>
      </c>
      <c r="N471" s="17">
        <f>(M471/D$6)^E$6</f>
        <v>0.10605109964467559</v>
      </c>
      <c r="O471" s="17">
        <f>(L471/D$6)^E$6</f>
        <v>0</v>
      </c>
      <c r="P471" s="32">
        <f>1-EXP(O471-N471)</f>
        <v>0.10062131102974814</v>
      </c>
      <c r="Q471" s="53">
        <f>B$7*(1-AF471*C$7)</f>
        <v>0</v>
      </c>
      <c r="R471" s="54">
        <f>Q471+E471</f>
        <v>77</v>
      </c>
      <c r="S471" s="16">
        <f>(R471/D$7)^E$7</f>
        <v>0.2221804751105394</v>
      </c>
      <c r="T471" s="16">
        <f>(Q471/D$7)^E$7</f>
        <v>0</v>
      </c>
      <c r="U471" s="35">
        <f>1-EXP(T471-S471)</f>
        <v>0.19922916791162293</v>
      </c>
      <c r="V471" s="55">
        <f>B$8*(1-AG471*C$8)</f>
        <v>0</v>
      </c>
      <c r="W471" s="56">
        <f>V471+E471</f>
        <v>77</v>
      </c>
      <c r="X471" s="18">
        <f>(W471/D$8)^E$8</f>
        <v>1.1551497592884551E-2</v>
      </c>
      <c r="Y471" s="18">
        <f>(V471/D$8)^E$8</f>
        <v>0</v>
      </c>
      <c r="Z471" s="38">
        <f>1-EXP(Y471-X471)</f>
        <v>1.1485035204098715E-2</v>
      </c>
      <c r="AA471" s="41">
        <f>K471*P471*U471*Z471</f>
        <v>2.9465138194053318E-5</v>
      </c>
      <c r="AB471" s="42">
        <f>1-AA471</f>
        <v>0.99997053486180598</v>
      </c>
      <c r="AC471" s="47">
        <f>(AD471*F$5+AE471*F$6+AF471*F$7+AG471*F$8)+E471</f>
        <v>77</v>
      </c>
      <c r="AD471" s="43">
        <v>0</v>
      </c>
      <c r="AE471" s="1">
        <v>0</v>
      </c>
      <c r="AF471" s="1">
        <v>0</v>
      </c>
      <c r="AG471" s="1">
        <v>0</v>
      </c>
      <c r="AH471" s="74">
        <v>40</v>
      </c>
    </row>
    <row r="472" spans="1:34" x14ac:dyDescent="0.25">
      <c r="A472" s="76">
        <v>1</v>
      </c>
      <c r="B472" s="58">
        <v>6</v>
      </c>
      <c r="C472" s="9">
        <v>500</v>
      </c>
      <c r="D472" s="58">
        <v>5</v>
      </c>
      <c r="E472" s="48">
        <f t="shared" ref="E472:E474" si="49">B472*C472/60+D472</f>
        <v>55</v>
      </c>
      <c r="F472" s="100">
        <v>106</v>
      </c>
      <c r="G472" s="49">
        <f>H471*(1-AD472*C$5)</f>
        <v>77</v>
      </c>
      <c r="H472" s="50">
        <f>G472+E472</f>
        <v>132</v>
      </c>
      <c r="I472" s="15">
        <f>(H472/D$5)^E$5</f>
        <v>0.34793173894508389</v>
      </c>
      <c r="J472" s="15">
        <f>(G472/D$5)^E$5</f>
        <v>0.13693992990275231</v>
      </c>
      <c r="K472" s="29">
        <f>1-EXP(J472-I472)</f>
        <v>0.19021930026645628</v>
      </c>
      <c r="L472" s="51">
        <f>M471*(1-AE472*C$6)</f>
        <v>77</v>
      </c>
      <c r="M472" s="52">
        <f>L472+E472</f>
        <v>132</v>
      </c>
      <c r="N472" s="17">
        <f>(M472/D$6)^E$6</f>
        <v>0.29214038913862722</v>
      </c>
      <c r="O472" s="17">
        <f>(L472/D$6)^E$6</f>
        <v>0.10605109964467559</v>
      </c>
      <c r="P472" s="32">
        <f>1-EXP(O472-N472)</f>
        <v>0.16980053641757786</v>
      </c>
      <c r="Q472" s="53">
        <f>R471*(1-AF472*C$7)</f>
        <v>77</v>
      </c>
      <c r="R472" s="54">
        <f>Q472+E472</f>
        <v>132</v>
      </c>
      <c r="S472" s="16">
        <f>(R472/D$7)^E$7</f>
        <v>0.82324306668270808</v>
      </c>
      <c r="T472" s="16">
        <f>(Q472/D$7)^E$7</f>
        <v>0.2221804751105394</v>
      </c>
      <c r="U472" s="35">
        <f>1-EXP(T472-S472)</f>
        <v>0.45177121680306542</v>
      </c>
      <c r="V472" s="55">
        <f>W471*(1-AG472*C$8)</f>
        <v>77</v>
      </c>
      <c r="W472" s="56">
        <f>V472+E472</f>
        <v>132</v>
      </c>
      <c r="X472" s="18">
        <f>(W472/D$8)^E$8</f>
        <v>4.5171946303006208E-2</v>
      </c>
      <c r="Y472" s="18">
        <f>(V472/D$8)^E$8</f>
        <v>1.1551497592884551E-2</v>
      </c>
      <c r="Z472" s="38">
        <f>1-EXP(Y472-X472)</f>
        <v>3.3061562270589318E-2</v>
      </c>
      <c r="AA472" s="41">
        <f>K472*P472*U472*Z472</f>
        <v>4.8243140003936076E-4</v>
      </c>
      <c r="AB472" s="42">
        <f>1-AA472</f>
        <v>0.99951756859996066</v>
      </c>
      <c r="AC472" s="47">
        <f>AF472*F$7+E472+AC471</f>
        <v>132</v>
      </c>
      <c r="AD472" s="43">
        <v>0</v>
      </c>
      <c r="AE472" s="1">
        <v>0</v>
      </c>
      <c r="AF472" s="1">
        <v>0</v>
      </c>
      <c r="AG472" s="1">
        <v>0</v>
      </c>
      <c r="AH472" s="74">
        <v>110</v>
      </c>
    </row>
    <row r="473" spans="1:34" x14ac:dyDescent="0.25">
      <c r="A473" s="24">
        <v>3</v>
      </c>
      <c r="B473" s="9">
        <v>5</v>
      </c>
      <c r="C473" s="58">
        <v>500</v>
      </c>
      <c r="D473" s="58">
        <v>4</v>
      </c>
      <c r="E473" s="48">
        <f t="shared" si="49"/>
        <v>45.666666666666664</v>
      </c>
      <c r="F473" s="100">
        <v>95</v>
      </c>
      <c r="G473" s="68">
        <f>H472*(1-AD473*C$5)</f>
        <v>92.399999999999991</v>
      </c>
      <c r="H473" s="69">
        <f>G473+E473</f>
        <v>138.06666666666666</v>
      </c>
      <c r="I473" s="70">
        <f>(H473/D$5)^E$5</f>
        <v>0.37605800658011651</v>
      </c>
      <c r="J473" s="70">
        <f>(G473/D$5)^E$5</f>
        <v>0.18772134485664987</v>
      </c>
      <c r="K473" s="29">
        <f>1-EXP(J473-I473)</f>
        <v>0.17166420866995746</v>
      </c>
      <c r="L473" s="51">
        <f>M472*(1-AE473*C$6)</f>
        <v>92.399999999999991</v>
      </c>
      <c r="M473" s="52">
        <f>L473+E473</f>
        <v>138.06666666666666</v>
      </c>
      <c r="N473" s="17">
        <f>(M473/D$6)^E$6</f>
        <v>0.31789202412323359</v>
      </c>
      <c r="O473" s="17">
        <f>(L473/D$6)^E$6</f>
        <v>0.14940871089337018</v>
      </c>
      <c r="P473" s="32">
        <f>1-EXP(O473-N473)</f>
        <v>0.15505463728965418</v>
      </c>
      <c r="Q473" s="53">
        <f>R472*(1-AF473*C$7)</f>
        <v>92.399999999999991</v>
      </c>
      <c r="R473" s="54">
        <f>Q473+E473</f>
        <v>138.06666666666666</v>
      </c>
      <c r="S473" s="16">
        <f>(R473/D$7)^E$7</f>
        <v>0.91822541626396692</v>
      </c>
      <c r="T473" s="16">
        <f>(Q473/D$7)^E$7</f>
        <v>0.34603204471909926</v>
      </c>
      <c r="U473" s="35">
        <f>1-EXP(T473-S473)</f>
        <v>0.43571360936248182</v>
      </c>
      <c r="V473" s="55">
        <f>W472*(1-AG473*C$8)</f>
        <v>92.399999999999991</v>
      </c>
      <c r="W473" s="56">
        <f>V473+E473</f>
        <v>138.06666666666666</v>
      </c>
      <c r="X473" s="18">
        <f>(W473/D$8)^E$8</f>
        <v>5.0610604201500146E-2</v>
      </c>
      <c r="Y473" s="18">
        <f>(V473/D$8)^E$8</f>
        <v>1.832174542453625E-2</v>
      </c>
      <c r="Z473" s="38">
        <f>1-EXP(Y473-X473)</f>
        <v>3.1773139145672813E-2</v>
      </c>
      <c r="AA473" s="41">
        <f>K473*P473*U473*Z473</f>
        <v>3.6849004970267423E-4</v>
      </c>
      <c r="AB473" s="42">
        <f>1-AA473</f>
        <v>0.99963150995029737</v>
      </c>
      <c r="AC473" s="47">
        <f>(AF473*F$7)+E473+AC472</f>
        <v>185.66666666666666</v>
      </c>
      <c r="AD473" s="77">
        <v>1</v>
      </c>
      <c r="AE473" s="78">
        <v>1</v>
      </c>
      <c r="AF473" s="78">
        <v>1</v>
      </c>
      <c r="AG473" s="78">
        <v>1</v>
      </c>
      <c r="AH473" s="74">
        <v>67</v>
      </c>
    </row>
    <row r="474" spans="1:34" ht="15.75" thickBot="1" x14ac:dyDescent="0.3">
      <c r="A474" s="57">
        <v>4</v>
      </c>
      <c r="B474" s="58">
        <v>8</v>
      </c>
      <c r="C474" s="58">
        <v>500</v>
      </c>
      <c r="D474" s="9">
        <v>3</v>
      </c>
      <c r="E474" s="48">
        <f t="shared" si="49"/>
        <v>69.666666666666671</v>
      </c>
      <c r="F474" s="100">
        <v>140</v>
      </c>
      <c r="G474" s="68">
        <f>H473*(1-AD474*C$5)</f>
        <v>96.646666666666661</v>
      </c>
      <c r="H474" s="69">
        <f>G474+E474</f>
        <v>166.31333333333333</v>
      </c>
      <c r="I474" s="70">
        <f>(H474/D$5)^E$5</f>
        <v>0.51892545440479432</v>
      </c>
      <c r="J474" s="70">
        <f>(G474/D$5)^E$5</f>
        <v>0.20289645018695066</v>
      </c>
      <c r="K474" s="29">
        <f>1-EXP(J474-I474)</f>
        <v>0.27096169532483416</v>
      </c>
      <c r="L474" s="51">
        <f>M473*(1-AE474*C$6)</f>
        <v>96.646666666666661</v>
      </c>
      <c r="M474" s="52">
        <f>L474+E474</f>
        <v>166.31333333333333</v>
      </c>
      <c r="N474" s="17">
        <f>(M474/D$6)^E$6</f>
        <v>0.45108200336097515</v>
      </c>
      <c r="O474" s="17">
        <f>(L474/D$6)^E$6</f>
        <v>0.16257881242500377</v>
      </c>
      <c r="P474" s="32">
        <f>1-EXP(O474-N474)</f>
        <v>0.25061558609399515</v>
      </c>
      <c r="Q474" s="53">
        <f>R473*(1-AF474*C$7)</f>
        <v>96.646666666666661</v>
      </c>
      <c r="R474" s="54">
        <f>Q474+E474</f>
        <v>166.31333333333333</v>
      </c>
      <c r="S474" s="16">
        <f>(R474/D$7)^E$7</f>
        <v>1.443398348879422</v>
      </c>
      <c r="T474" s="16">
        <f>(Q474/D$7)^E$7</f>
        <v>0.3859557780221517</v>
      </c>
      <c r="U474" s="35">
        <f>1-EXP(T474-S474)</f>
        <v>0.65265701953009181</v>
      </c>
      <c r="V474" s="55">
        <f>W473*(1-AG474*C$8)</f>
        <v>96.646666666666661</v>
      </c>
      <c r="W474" s="56">
        <f>V474+E474</f>
        <v>166.31333333333333</v>
      </c>
      <c r="X474" s="18">
        <f>(W474/D$8)^E$8</f>
        <v>8.1051720711888042E-2</v>
      </c>
      <c r="Y474" s="18">
        <f>(V474/D$8)^E$8</f>
        <v>2.0527665550247501E-2</v>
      </c>
      <c r="Z474" s="38">
        <f>1-EXP(Y474-X474)</f>
        <v>5.8728873683021265E-2</v>
      </c>
      <c r="AA474" s="41">
        <f>K474*P474*U474*Z474</f>
        <v>2.6028711093351907E-3</v>
      </c>
      <c r="AB474" s="42">
        <f>1-AA474</f>
        <v>0.99739712889066479</v>
      </c>
      <c r="AC474" s="47">
        <f>(AF474*F$7)+E474+AC473</f>
        <v>263.33333333333331</v>
      </c>
      <c r="AD474" s="80">
        <v>1</v>
      </c>
      <c r="AE474" s="45">
        <v>1</v>
      </c>
      <c r="AF474" s="81">
        <v>1</v>
      </c>
      <c r="AG474" s="45">
        <v>1</v>
      </c>
      <c r="AH474" s="94">
        <v>85</v>
      </c>
    </row>
    <row r="475" spans="1:34" ht="18.75" x14ac:dyDescent="0.3">
      <c r="A475" s="132" t="s">
        <v>53</v>
      </c>
      <c r="B475" s="132"/>
      <c r="C475" s="132"/>
      <c r="D475" s="132"/>
      <c r="E475" s="132"/>
      <c r="F475" s="132"/>
      <c r="G475" s="132"/>
      <c r="H475" s="132"/>
      <c r="I475" s="132"/>
      <c r="J475" s="132"/>
      <c r="AG475" s="46"/>
    </row>
    <row r="476" spans="1:34" ht="15.75" x14ac:dyDescent="0.25">
      <c r="A476" s="19" t="s">
        <v>48</v>
      </c>
      <c r="B476" s="60" t="s">
        <v>49</v>
      </c>
      <c r="C476" s="61" t="s">
        <v>50</v>
      </c>
      <c r="D476" s="19" t="s">
        <v>58</v>
      </c>
      <c r="E476" s="60" t="s">
        <v>57</v>
      </c>
      <c r="F476" s="61" t="s">
        <v>50</v>
      </c>
      <c r="G476" s="19" t="s">
        <v>54</v>
      </c>
      <c r="H476" s="60" t="s">
        <v>61</v>
      </c>
      <c r="I476" s="61" t="s">
        <v>50</v>
      </c>
      <c r="J476" s="19" t="s">
        <v>82</v>
      </c>
      <c r="K476" s="83" t="s">
        <v>84</v>
      </c>
      <c r="L476" s="61" t="s">
        <v>50</v>
      </c>
      <c r="M476" s="61" t="s">
        <v>85</v>
      </c>
      <c r="O476" s="174" t="s">
        <v>64</v>
      </c>
      <c r="P476" s="174"/>
      <c r="Q476" s="175" t="s">
        <v>109</v>
      </c>
      <c r="R476" s="175"/>
    </row>
    <row r="477" spans="1:34" ht="24.75" x14ac:dyDescent="0.25">
      <c r="A477" s="61" t="s">
        <v>51</v>
      </c>
      <c r="B477" s="1">
        <f>AA471</f>
        <v>2.9465138194053318E-5</v>
      </c>
      <c r="C477" s="59">
        <f>MAX(AC471+1*L464-F471,0)</f>
        <v>13</v>
      </c>
      <c r="D477" s="62" t="s">
        <v>55</v>
      </c>
      <c r="E477" s="1">
        <f>AA471*AA472</f>
        <v>1.4214907871310384E-8</v>
      </c>
      <c r="F477" s="1">
        <f>MAX(AC472+2*L464-F472,0)</f>
        <v>50</v>
      </c>
      <c r="G477" s="62" t="s">
        <v>59</v>
      </c>
      <c r="H477" s="1">
        <f>AA471*AA472*AA473</f>
        <v>5.2380521080180986E-12</v>
      </c>
      <c r="I477" s="1">
        <f>AC473+3*L464-F473</f>
        <v>126.66666666666666</v>
      </c>
      <c r="J477" s="62" t="s">
        <v>83</v>
      </c>
      <c r="K477" s="1">
        <f>AA471*AA472*AA473*AA474</f>
        <v>1.3633974501152603E-14</v>
      </c>
      <c r="L477" s="1">
        <f>AC474+4*L464-F474</f>
        <v>171.33333333333331</v>
      </c>
      <c r="M477" s="1">
        <f>B477*C477*AH471+E477*F477*AH472+H477*I477*AH473+K477*L477*AH474</f>
        <v>1.5400098506358271E-2</v>
      </c>
      <c r="O477" s="1" t="s">
        <v>27</v>
      </c>
      <c r="P477" s="1">
        <f>2*H462</f>
        <v>3640</v>
      </c>
      <c r="Q477" s="1">
        <f>(K471*(1-P471)*(1-U471)*(1-Z471))+(P471*(1-K471)*(1-U471)*(1-Z471))+(U471*(1-K471)*(1-P471)*(1-Z471))+(Z471*(1-K471)*(1-P471)*(1-U471))</f>
        <v>0.32223571239848364</v>
      </c>
      <c r="R477" s="1">
        <f>Q477*(L$7*(J$5*K$5+L$5)+I$5)</f>
        <v>11357.197683484555</v>
      </c>
    </row>
    <row r="478" spans="1:34" ht="24.75" x14ac:dyDescent="0.25">
      <c r="A478" s="62" t="s">
        <v>52</v>
      </c>
      <c r="B478" s="1">
        <f>AB471</f>
        <v>0.99997053486180598</v>
      </c>
      <c r="C478" s="59">
        <f>MAX(AC471-F471,0)</f>
        <v>1</v>
      </c>
      <c r="D478" s="62" t="s">
        <v>56</v>
      </c>
      <c r="E478" s="1">
        <f>AA471*AB472+AA472*AB471</f>
        <v>5.118681084176715E-4</v>
      </c>
      <c r="F478" s="1">
        <f>MAX(AC472+1*L464-F472,0)</f>
        <v>38</v>
      </c>
      <c r="G478" s="62" t="s">
        <v>60</v>
      </c>
      <c r="H478" s="1">
        <f>AA471*AA472*AB473+AA472*AA473*AB471+AA471*AA473*AB472</f>
        <v>2.0282797453124396E-7</v>
      </c>
      <c r="I478" s="1">
        <f>AC473+2*L464-F473</f>
        <v>114.66666666666666</v>
      </c>
      <c r="J478" s="62" t="s">
        <v>59</v>
      </c>
      <c r="K478">
        <f>AB471*AA472*AA473*AA474+AB472*AA471*AA473*AA474*+AB473*AA471*AA472*AA474+AB474*AA471*AA472*AA473</f>
        <v>4.6792622813188705E-10</v>
      </c>
      <c r="L478" s="1">
        <f>AC474+3*L464-F474</f>
        <v>159.33333333333331</v>
      </c>
      <c r="M478" s="1">
        <f>B478*C478*AH471+E478*F478*AH472+H478*I478*AH473+K478*L478*AH474</f>
        <v>42.139994684657985</v>
      </c>
      <c r="O478" s="1" t="s">
        <v>28</v>
      </c>
      <c r="P478" s="1">
        <f>2*H463</f>
        <v>5440</v>
      </c>
      <c r="Q478" s="1">
        <f t="shared" ref="Q478:Q480" si="50">(K472*(1-P472)*(1-U472)*(1-Z472))+(P472*(1-K472)*(1-U472)*(1-Z472))+(U472*(1-K472)*(1-P472)*(1-Z472))+(Z472*(1-K472)*(1-P472)*(1-U472))</f>
        <v>0.46246423864147862</v>
      </c>
      <c r="R478" s="1">
        <f t="shared" ref="R478:R480" si="51">Q478*(L$7*(J$5*K$5+L$5)+I$5)</f>
        <v>16299.552090918914</v>
      </c>
    </row>
    <row r="479" spans="1:34" ht="24.75" x14ac:dyDescent="0.25">
      <c r="A479" s="1"/>
      <c r="B479" s="1"/>
      <c r="C479" s="1"/>
      <c r="D479" s="62" t="s">
        <v>52</v>
      </c>
      <c r="E479" s="1">
        <f>AB471*AB472</f>
        <v>0.99948811767667456</v>
      </c>
      <c r="F479" s="59">
        <f>MAX(AC472-F472,0)</f>
        <v>26</v>
      </c>
      <c r="G479" s="62" t="s">
        <v>56</v>
      </c>
      <c r="H479" s="1">
        <f>AA471*AB472*AB473+AA472*AB471*AB473*+AA473*AB471*AB472</f>
        <v>2.9617680379837998E-5</v>
      </c>
      <c r="I479" s="1">
        <f>AC473+1*L464-F473</f>
        <v>102.66666666666666</v>
      </c>
      <c r="J479" s="62" t="s">
        <v>60</v>
      </c>
      <c r="K479" s="1">
        <f>AA471*AA472*AB473*AB474 + AA471*AA473*AB472*AB474 + AA471*AA474*AB472*AB473 + AA472*AA473*AB471*AB474 + AA472*AA474*AB471*AB473 + AA473*AA474*AB471*AB472</f>
        <v>2.4927769431891331E-6</v>
      </c>
      <c r="L479" s="1">
        <f>AC474+2*L464-F474</f>
        <v>147.33333333333331</v>
      </c>
      <c r="M479" s="1">
        <f>B479*C479*AH471+E479*F479*AH472+H479*I479*AH473+K479*L479*AH474</f>
        <v>2858.7709645826471</v>
      </c>
      <c r="O479" s="1" t="s">
        <v>29</v>
      </c>
      <c r="P479" s="1">
        <f>2*(F464*(J462*K462+L462)+H464)</f>
        <v>28200</v>
      </c>
      <c r="Q479" s="1">
        <f t="shared" si="50"/>
        <v>0.45723455671337027</v>
      </c>
      <c r="R479" s="1">
        <f t="shared" si="51"/>
        <v>16115.231951362735</v>
      </c>
    </row>
    <row r="480" spans="1:34" ht="24.75" x14ac:dyDescent="0.25">
      <c r="A480" s="1"/>
      <c r="B480" s="1"/>
      <c r="C480" s="1"/>
      <c r="D480" s="1"/>
      <c r="E480" s="1"/>
      <c r="F480" s="1"/>
      <c r="G480" s="62" t="s">
        <v>52</v>
      </c>
      <c r="H480" s="1">
        <f>AB471*AB472*AB473</f>
        <v>0.99911981625051471</v>
      </c>
      <c r="I480" s="63">
        <f>AC473-F473</f>
        <v>90.666666666666657</v>
      </c>
      <c r="J480" s="62" t="s">
        <v>56</v>
      </c>
      <c r="K480" s="1">
        <f>AA471*AB472*AB473*AB474+AA472*AB471*AB473*AB474+AA473*AB471*AB472*AB474+AA474*AB471*AB472*AB473</f>
        <v>3.4782705438518853E-3</v>
      </c>
      <c r="L480" s="1">
        <f>AC474+1*L464-F474</f>
        <v>135.33333333333331</v>
      </c>
      <c r="M480" s="1">
        <f>B480*C480*AH471+E480*F480*AH472+H480*I480*AH473+K480*L480*AH474</f>
        <v>6109.3315492725687</v>
      </c>
      <c r="O480" s="1" t="s">
        <v>30</v>
      </c>
      <c r="P480" s="1">
        <f>2*H465</f>
        <v>8640</v>
      </c>
      <c r="Q480" s="1">
        <f t="shared" si="50"/>
        <v>0.4728927789341909</v>
      </c>
      <c r="R480" s="1">
        <f t="shared" si="51"/>
        <v>16667.105993535559</v>
      </c>
    </row>
    <row r="481" spans="1:20" ht="30" x14ac:dyDescent="0.25">
      <c r="I481" s="84"/>
      <c r="J481" s="62" t="s">
        <v>52</v>
      </c>
      <c r="K481" s="85">
        <f>AB471*AB472*AB473*AB474</f>
        <v>0.99651923614603199</v>
      </c>
      <c r="L481" s="1">
        <f>AC474+0*L464-F474</f>
        <v>123.33333333333331</v>
      </c>
      <c r="M481" s="1">
        <f>B481*C481*AH471+E481*F481*AH472+H481*I481*AH473+K481*L481*AH474</f>
        <v>10446.843325597567</v>
      </c>
      <c r="O481" s="64" t="s">
        <v>65</v>
      </c>
      <c r="P481" s="65">
        <f>SUM(P477:P480)</f>
        <v>45920</v>
      </c>
      <c r="Q481" s="96" t="s">
        <v>108</v>
      </c>
      <c r="R481" s="97">
        <f>SUM(R477:R480)</f>
        <v>60439.087719301766</v>
      </c>
    </row>
    <row r="482" spans="1:20" x14ac:dyDescent="0.25">
      <c r="L482" s="176" t="s">
        <v>63</v>
      </c>
      <c r="M482" s="177">
        <f>SUM(M477:M481)</f>
        <v>19457.101234235946</v>
      </c>
    </row>
    <row r="483" spans="1:20" x14ac:dyDescent="0.25">
      <c r="L483" s="176"/>
      <c r="M483" s="177"/>
    </row>
    <row r="484" spans="1:20" x14ac:dyDescent="0.25">
      <c r="A484" s="178" t="s">
        <v>90</v>
      </c>
      <c r="B484" s="178"/>
      <c r="C484" s="178"/>
      <c r="D484" s="178"/>
      <c r="E484" s="178"/>
      <c r="F484" s="178"/>
      <c r="G484" s="178"/>
      <c r="H484" s="178"/>
      <c r="I484" s="178"/>
      <c r="J484" s="178"/>
      <c r="K484" s="178"/>
      <c r="L484" s="178"/>
      <c r="M484" s="178"/>
      <c r="N484" s="178"/>
    </row>
    <row r="485" spans="1:20" ht="15.75" x14ac:dyDescent="0.25">
      <c r="A485" s="87" t="s">
        <v>75</v>
      </c>
      <c r="B485" s="62" t="s">
        <v>49</v>
      </c>
      <c r="C485" s="90" t="s">
        <v>87</v>
      </c>
      <c r="D485" s="62" t="s">
        <v>88</v>
      </c>
      <c r="E485" s="87" t="s">
        <v>77</v>
      </c>
      <c r="F485" s="62" t="s">
        <v>57</v>
      </c>
      <c r="G485" s="90" t="s">
        <v>78</v>
      </c>
      <c r="H485" s="62" t="s">
        <v>88</v>
      </c>
      <c r="I485" s="87" t="s">
        <v>76</v>
      </c>
      <c r="J485" s="62" t="s">
        <v>61</v>
      </c>
      <c r="K485" s="90" t="s">
        <v>102</v>
      </c>
      <c r="L485" s="62" t="s">
        <v>88</v>
      </c>
      <c r="M485" s="87" t="s">
        <v>86</v>
      </c>
      <c r="N485" s="62" t="s">
        <v>84</v>
      </c>
      <c r="O485" s="90" t="s">
        <v>103</v>
      </c>
      <c r="P485" s="62" t="s">
        <v>88</v>
      </c>
    </row>
    <row r="486" spans="1:20" ht="24.75" x14ac:dyDescent="0.25">
      <c r="A486" s="62" t="s">
        <v>51</v>
      </c>
      <c r="B486" s="86">
        <v>2.9465138194053318E-5</v>
      </c>
      <c r="C486" s="86">
        <f>AC471+1*L464</f>
        <v>89</v>
      </c>
      <c r="D486" s="86">
        <f>MAX(B486*1.5*((C486-F471)*500/2),0)</f>
        <v>0.14364254869600993</v>
      </c>
      <c r="E486" s="62" t="s">
        <v>55</v>
      </c>
      <c r="F486" s="86">
        <v>1.4214907871310384E-8</v>
      </c>
      <c r="G486" s="86">
        <f>AC472+2*L464</f>
        <v>156</v>
      </c>
      <c r="H486" s="86">
        <f>F486*1.5*((G486-F472)*500/2+(G486-F473)*500+(G486-F474)*500)</f>
        <v>1.0874404521552443E-3</v>
      </c>
      <c r="I486" s="62" t="s">
        <v>59</v>
      </c>
      <c r="J486" s="86">
        <v>5.2380521080180986E-12</v>
      </c>
      <c r="K486" s="86">
        <f>AC473+3*L464</f>
        <v>221.66666666666666</v>
      </c>
      <c r="L486" s="86">
        <f>J486*1.5*((K486-G486)*500/2+(K486-G486)*500)</f>
        <v>3.86961099479837E-7</v>
      </c>
      <c r="M486" s="62" t="s">
        <v>83</v>
      </c>
      <c r="N486" s="86">
        <v>1.3633974501152603E-14</v>
      </c>
      <c r="O486" s="86">
        <f>AC474+4*L464</f>
        <v>311.33333333333331</v>
      </c>
      <c r="P486" s="86">
        <f>N486*1.5*((O486-K486)*500/2)</f>
        <v>4.5844239260125624E-10</v>
      </c>
    </row>
    <row r="487" spans="1:20" ht="24.75" x14ac:dyDescent="0.25">
      <c r="A487" s="62" t="s">
        <v>52</v>
      </c>
      <c r="B487" s="86">
        <v>0.99997053486180598</v>
      </c>
      <c r="C487" s="88">
        <f>AC471</f>
        <v>77</v>
      </c>
      <c r="D487" s="86">
        <f>MAX(B487*1.5*((C487-F471)*500/2),0)</f>
        <v>374.98895057317725</v>
      </c>
      <c r="E487" s="62" t="s">
        <v>56</v>
      </c>
      <c r="F487" s="86">
        <v>5.118681084176715E-4</v>
      </c>
      <c r="G487" s="86">
        <f>AC472+1*L464</f>
        <v>144</v>
      </c>
      <c r="H487" s="86">
        <f>F487*1.5*((G487-F472)*500/2+(G487-F473)*500+(G487-F474)*500)</f>
        <v>27.640877854554262</v>
      </c>
      <c r="I487" s="62" t="s">
        <v>60</v>
      </c>
      <c r="J487" s="86">
        <v>2.0282797453124396E-7</v>
      </c>
      <c r="K487" s="86">
        <f>AC473+2*L464</f>
        <v>209.66666666666666</v>
      </c>
      <c r="L487" s="86">
        <f>J487*1.5*((K487-G487)*500/2+(K487-G487)*500)</f>
        <v>1.4983916618495645E-2</v>
      </c>
      <c r="M487" s="62" t="s">
        <v>59</v>
      </c>
      <c r="N487" s="86">
        <v>4.6792622813188705E-10</v>
      </c>
      <c r="O487" s="86">
        <f>AC474+3*L464</f>
        <v>299.33333333333331</v>
      </c>
      <c r="P487" s="86">
        <f>N487*1.5*((O487-K487)*500/2)</f>
        <v>1.5734019420934701E-5</v>
      </c>
    </row>
    <row r="488" spans="1:20" x14ac:dyDescent="0.25">
      <c r="A488" s="86"/>
      <c r="B488" s="86"/>
      <c r="C488" s="89" t="s">
        <v>89</v>
      </c>
      <c r="D488" s="89">
        <f>SUM(D486:D487)</f>
        <v>375.13259312187324</v>
      </c>
      <c r="E488" s="62" t="s">
        <v>52</v>
      </c>
      <c r="F488" s="86">
        <v>0.99948811767667456</v>
      </c>
      <c r="G488" s="86">
        <f>AC472+0*L464</f>
        <v>132</v>
      </c>
      <c r="H488" s="86">
        <f>F488*1.5*((G488-F472)*500/2+(G488-F473)*500)</f>
        <v>37480.804412875295</v>
      </c>
      <c r="I488" s="62" t="s">
        <v>56</v>
      </c>
      <c r="J488" s="86">
        <v>2.9617680379837998E-5</v>
      </c>
      <c r="K488" s="86">
        <f>AC473+1*L464</f>
        <v>197.66666666666666</v>
      </c>
      <c r="L488" s="86">
        <f>J488*1.5*((K488-G488)*500/2+(K488-F474)*500)</f>
        <v>2.0103000557815038</v>
      </c>
      <c r="M488" s="62" t="s">
        <v>60</v>
      </c>
      <c r="N488" s="86">
        <v>2.4927769431891331E-6</v>
      </c>
      <c r="O488" s="86">
        <f>AC474+2*L464</f>
        <v>287.33333333333331</v>
      </c>
      <c r="P488" s="86">
        <f>N488*1.5*((O488-K488)*500/2)</f>
        <v>8.3819624714734586E-2</v>
      </c>
    </row>
    <row r="489" spans="1:20" x14ac:dyDescent="0.25">
      <c r="A489" s="86"/>
      <c r="B489" s="86"/>
      <c r="C489" s="86"/>
      <c r="D489" s="86"/>
      <c r="E489" s="86"/>
      <c r="F489" s="86"/>
      <c r="G489" s="89" t="s">
        <v>79</v>
      </c>
      <c r="H489" s="89">
        <f>SUM(H486:H488)</f>
        <v>37508.446378170302</v>
      </c>
      <c r="I489" s="62" t="s">
        <v>52</v>
      </c>
      <c r="J489" s="86">
        <v>0.99911981625051471</v>
      </c>
      <c r="K489" s="86">
        <f>AC473+0*L464</f>
        <v>185.66666666666666</v>
      </c>
      <c r="L489" s="86">
        <f>J489*1.5*((K489-G488)*500/2+(K489-F474)*500)</f>
        <v>54327.140008621725</v>
      </c>
      <c r="M489" s="62" t="s">
        <v>56</v>
      </c>
      <c r="N489" s="86">
        <v>3.4782705438518853E-3</v>
      </c>
      <c r="O489" s="86">
        <f>AC474+1*L464</f>
        <v>275.33333333333331</v>
      </c>
      <c r="P489" s="86">
        <f>N489*1.5*((O489-K489)*500/2)</f>
        <v>116.95684703701963</v>
      </c>
    </row>
    <row r="490" spans="1:20" x14ac:dyDescent="0.25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9" t="s">
        <v>79</v>
      </c>
      <c r="L490" s="89">
        <f>SUM(L486:L489)</f>
        <v>54329.165292981088</v>
      </c>
      <c r="M490" s="62" t="s">
        <v>52</v>
      </c>
      <c r="N490" s="86">
        <v>0.99651923614603199</v>
      </c>
      <c r="O490" s="86">
        <f>AC474+0*L464</f>
        <v>263.33333333333331</v>
      </c>
      <c r="P490" s="86">
        <f>N490*1.5*((O490-K489)*500/2)</f>
        <v>29023.622752753181</v>
      </c>
      <c r="Q490" s="179" t="s">
        <v>80</v>
      </c>
      <c r="R490" s="179"/>
      <c r="S490" s="180">
        <f>D488+H489+L490+P491</f>
        <v>121353.40769942265</v>
      </c>
      <c r="T490" s="180"/>
    </row>
    <row r="491" spans="1:20" x14ac:dyDescent="0.25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9" t="s">
        <v>79</v>
      </c>
      <c r="P491" s="89">
        <f>SUM(P486:P490)</f>
        <v>29140.663435149392</v>
      </c>
      <c r="Q491" s="179"/>
      <c r="R491" s="179"/>
      <c r="S491" s="180"/>
      <c r="T491" s="180"/>
    </row>
    <row r="492" spans="1:20" x14ac:dyDescent="0.25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</row>
    <row r="493" spans="1:20" x14ac:dyDescent="0.25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</row>
    <row r="494" spans="1:20" x14ac:dyDescent="0.25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</row>
    <row r="495" spans="1:20" ht="24.75" thickBot="1" x14ac:dyDescent="0.3">
      <c r="O495" s="131" t="s">
        <v>81</v>
      </c>
      <c r="P495" s="131"/>
      <c r="Q495" s="131">
        <f>(R481+P481+M482+S490)/AC474</f>
        <v>938.61872146693804</v>
      </c>
      <c r="R495" s="131"/>
    </row>
    <row r="496" spans="1:20" x14ac:dyDescent="0.25">
      <c r="A496" s="181" t="s">
        <v>118</v>
      </c>
      <c r="B496" s="182"/>
    </row>
    <row r="497" spans="1:34" ht="15.75" thickBot="1" x14ac:dyDescent="0.3">
      <c r="A497" s="183"/>
      <c r="B497" s="184"/>
    </row>
    <row r="498" spans="1:34" ht="21" x14ac:dyDescent="0.35">
      <c r="A498" s="185" t="s">
        <v>14</v>
      </c>
      <c r="B498" s="185"/>
      <c r="C498" s="165"/>
      <c r="D498" s="165"/>
      <c r="E498" s="165"/>
      <c r="F498" s="165"/>
      <c r="G498" s="165"/>
      <c r="H498" s="165"/>
      <c r="I498" s="165"/>
      <c r="J498" s="165"/>
      <c r="K498" s="165"/>
      <c r="L498" s="165"/>
      <c r="M498" s="165"/>
      <c r="O498" s="166" t="s">
        <v>72</v>
      </c>
      <c r="P498" s="166"/>
      <c r="Q498" s="166"/>
      <c r="R498" s="166"/>
      <c r="S498" s="166"/>
      <c r="T498" s="166"/>
      <c r="U498" s="166"/>
      <c r="V498" s="166"/>
    </row>
    <row r="499" spans="1:34" ht="36" x14ac:dyDescent="0.25">
      <c r="A499" s="4" t="s">
        <v>15</v>
      </c>
      <c r="B499" s="4" t="s">
        <v>16</v>
      </c>
      <c r="C499" s="4" t="s">
        <v>31</v>
      </c>
      <c r="D499" s="6" t="s">
        <v>17</v>
      </c>
      <c r="E499" s="6" t="s">
        <v>18</v>
      </c>
      <c r="F499" s="6" t="s">
        <v>19</v>
      </c>
      <c r="G499" s="6" t="s">
        <v>20</v>
      </c>
      <c r="H499" s="6" t="s">
        <v>21</v>
      </c>
      <c r="I499" s="6" t="s">
        <v>22</v>
      </c>
      <c r="J499" s="6" t="s">
        <v>23</v>
      </c>
      <c r="K499" s="6" t="s">
        <v>24</v>
      </c>
      <c r="L499" s="6" t="s">
        <v>25</v>
      </c>
      <c r="M499" s="6" t="s">
        <v>26</v>
      </c>
      <c r="N499" s="8"/>
      <c r="O499" s="167" t="s">
        <v>32</v>
      </c>
      <c r="P499" s="167" t="s">
        <v>35</v>
      </c>
      <c r="Q499" s="167" t="s">
        <v>66</v>
      </c>
      <c r="R499" s="99" t="s">
        <v>67</v>
      </c>
      <c r="S499" s="99" t="s">
        <v>68</v>
      </c>
      <c r="T499" s="167" t="s">
        <v>69</v>
      </c>
      <c r="U499" s="71" t="s">
        <v>33</v>
      </c>
      <c r="V499" s="99" t="s">
        <v>70</v>
      </c>
    </row>
    <row r="500" spans="1:34" x14ac:dyDescent="0.25">
      <c r="A500" s="3" t="s">
        <v>27</v>
      </c>
      <c r="B500" s="3">
        <v>0</v>
      </c>
      <c r="C500" s="3">
        <v>0.3</v>
      </c>
      <c r="D500" s="3">
        <v>243</v>
      </c>
      <c r="E500" s="3">
        <v>1.73</v>
      </c>
      <c r="F500" s="3">
        <v>5</v>
      </c>
      <c r="G500" s="169">
        <v>12</v>
      </c>
      <c r="H500" s="3">
        <v>1820</v>
      </c>
      <c r="I500" s="169">
        <v>19645</v>
      </c>
      <c r="J500" s="3">
        <v>20</v>
      </c>
      <c r="K500" s="3">
        <v>40</v>
      </c>
      <c r="L500" s="3">
        <v>500</v>
      </c>
      <c r="M500" s="3">
        <v>1000</v>
      </c>
      <c r="O500" s="168"/>
      <c r="P500" s="168"/>
      <c r="Q500" s="168"/>
      <c r="R500" s="72" t="s">
        <v>71</v>
      </c>
      <c r="S500" s="72" t="s">
        <v>71</v>
      </c>
      <c r="T500" s="168"/>
      <c r="U500" s="73">
        <v>500</v>
      </c>
      <c r="V500" s="3">
        <v>1.5</v>
      </c>
    </row>
    <row r="501" spans="1:34" x14ac:dyDescent="0.25">
      <c r="A501" s="3" t="s">
        <v>28</v>
      </c>
      <c r="B501" s="3">
        <v>0</v>
      </c>
      <c r="C501" s="3">
        <v>0.3</v>
      </c>
      <c r="D501" s="3">
        <v>254</v>
      </c>
      <c r="E501" s="3">
        <v>1.88</v>
      </c>
      <c r="F501" s="3">
        <v>3</v>
      </c>
      <c r="G501" s="170"/>
      <c r="H501" s="3">
        <v>2720</v>
      </c>
      <c r="I501" s="170"/>
      <c r="J501" s="5"/>
      <c r="K501" s="5"/>
      <c r="L501" s="5"/>
      <c r="M501" s="5"/>
      <c r="O501" s="74">
        <v>1</v>
      </c>
      <c r="P501" s="74">
        <v>106</v>
      </c>
      <c r="Q501" s="74">
        <v>110</v>
      </c>
      <c r="R501" s="74">
        <v>6</v>
      </c>
      <c r="S501" s="74">
        <v>5</v>
      </c>
      <c r="T501" s="74">
        <f>R501*$U$5/60+S501</f>
        <v>55</v>
      </c>
      <c r="U501" s="75"/>
    </row>
    <row r="502" spans="1:34" x14ac:dyDescent="0.25">
      <c r="A502" s="3" t="s">
        <v>29</v>
      </c>
      <c r="B502" s="3">
        <v>0</v>
      </c>
      <c r="C502" s="3">
        <v>0.3</v>
      </c>
      <c r="D502" s="3">
        <v>143</v>
      </c>
      <c r="E502" s="3">
        <v>2.4300000000000002</v>
      </c>
      <c r="F502" s="3">
        <v>8</v>
      </c>
      <c r="G502" s="170"/>
      <c r="H502" s="3">
        <v>3700</v>
      </c>
      <c r="I502" s="170"/>
      <c r="J502" s="5"/>
      <c r="K502" s="140" t="s">
        <v>73</v>
      </c>
      <c r="L502" s="141">
        <v>12</v>
      </c>
      <c r="M502" s="140" t="s">
        <v>74</v>
      </c>
      <c r="N502" s="141">
        <v>19645</v>
      </c>
      <c r="O502" s="74">
        <v>2</v>
      </c>
      <c r="P502" s="74">
        <v>76</v>
      </c>
      <c r="Q502" s="74">
        <v>40</v>
      </c>
      <c r="R502" s="74">
        <v>9</v>
      </c>
      <c r="S502" s="74">
        <v>2</v>
      </c>
      <c r="T502" s="74">
        <f t="shared" ref="T502:T504" si="52">R502*$U$5/60+S502</f>
        <v>77</v>
      </c>
      <c r="U502" s="75"/>
    </row>
    <row r="503" spans="1:34" x14ac:dyDescent="0.25">
      <c r="A503" s="3" t="s">
        <v>30</v>
      </c>
      <c r="B503" s="3">
        <v>0</v>
      </c>
      <c r="C503" s="3">
        <v>0.3</v>
      </c>
      <c r="D503" s="3">
        <v>449</v>
      </c>
      <c r="E503" s="3">
        <v>2.5299999999999998</v>
      </c>
      <c r="F503" s="3">
        <v>4</v>
      </c>
      <c r="G503" s="171"/>
      <c r="H503" s="3">
        <v>4320</v>
      </c>
      <c r="I503" s="171"/>
      <c r="J503" s="5"/>
      <c r="K503" s="140"/>
      <c r="L503" s="141"/>
      <c r="M503" s="140"/>
      <c r="N503" s="141"/>
      <c r="O503" s="74">
        <v>3</v>
      </c>
      <c r="P503" s="74">
        <v>95</v>
      </c>
      <c r="Q503" s="74">
        <v>67</v>
      </c>
      <c r="R503" s="74">
        <v>5</v>
      </c>
      <c r="S503" s="74">
        <v>4</v>
      </c>
      <c r="T503" s="74">
        <f t="shared" si="52"/>
        <v>45.666666666666664</v>
      </c>
      <c r="U503" s="75"/>
    </row>
    <row r="504" spans="1:34" ht="15.75" thickBo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O504" s="74">
        <v>4</v>
      </c>
      <c r="P504" s="74">
        <v>140</v>
      </c>
      <c r="Q504" s="94">
        <v>85</v>
      </c>
      <c r="R504" s="94">
        <v>8</v>
      </c>
      <c r="S504" s="94">
        <v>3</v>
      </c>
      <c r="T504" s="74">
        <f t="shared" si="52"/>
        <v>69.666666666666671</v>
      </c>
    </row>
    <row r="505" spans="1:34" ht="15" customHeight="1" x14ac:dyDescent="0.25">
      <c r="A505" s="142" t="s">
        <v>100</v>
      </c>
      <c r="B505" s="144" t="s">
        <v>129</v>
      </c>
      <c r="C505" s="144"/>
      <c r="D505" s="144"/>
      <c r="E505" s="144"/>
      <c r="F505" s="20" t="s">
        <v>27</v>
      </c>
      <c r="G505" s="20" t="s">
        <v>28</v>
      </c>
      <c r="H505" s="20" t="s">
        <v>29</v>
      </c>
      <c r="I505" s="20" t="s">
        <v>30</v>
      </c>
    </row>
    <row r="506" spans="1:34" ht="15.75" customHeight="1" thickBot="1" x14ac:dyDescent="0.3">
      <c r="A506" s="143"/>
      <c r="B506" s="145"/>
      <c r="C506" s="145"/>
      <c r="D506" s="145"/>
      <c r="E506" s="145"/>
      <c r="F506" s="20">
        <v>91</v>
      </c>
      <c r="G506" s="26">
        <v>91</v>
      </c>
      <c r="H506" s="26">
        <v>91</v>
      </c>
      <c r="I506" s="26">
        <v>91</v>
      </c>
    </row>
    <row r="507" spans="1:34" ht="15.75" customHeight="1" thickBot="1" x14ac:dyDescent="0.3">
      <c r="A507" s="143"/>
      <c r="B507" s="145"/>
      <c r="C507" s="145"/>
      <c r="D507" s="145"/>
      <c r="E507" s="145"/>
      <c r="F507" s="7"/>
      <c r="G507" s="146" t="s">
        <v>27</v>
      </c>
      <c r="H507" s="147"/>
      <c r="I507" s="147"/>
      <c r="J507" s="147"/>
      <c r="K507" s="148"/>
      <c r="L507" s="149" t="s">
        <v>28</v>
      </c>
      <c r="M507" s="150"/>
      <c r="N507" s="150"/>
      <c r="O507" s="150"/>
      <c r="P507" s="151"/>
      <c r="Q507" s="152" t="s">
        <v>29</v>
      </c>
      <c r="R507" s="153"/>
      <c r="S507" s="153"/>
      <c r="T507" s="153"/>
      <c r="U507" s="154"/>
      <c r="V507" s="155" t="s">
        <v>30</v>
      </c>
      <c r="W507" s="156"/>
      <c r="X507" s="156"/>
      <c r="Y507" s="156"/>
      <c r="Z507" s="157"/>
      <c r="AA507" s="158" t="s">
        <v>42</v>
      </c>
      <c r="AB507" s="159"/>
      <c r="AC507" s="160" t="s">
        <v>44</v>
      </c>
      <c r="AD507" s="162" t="s">
        <v>47</v>
      </c>
      <c r="AE507" s="163"/>
      <c r="AF507" s="163"/>
      <c r="AG507" s="164"/>
      <c r="AH507" s="138" t="s">
        <v>62</v>
      </c>
    </row>
    <row r="508" spans="1:34" ht="36.75" x14ac:dyDescent="0.25">
      <c r="A508" s="21" t="s">
        <v>32</v>
      </c>
      <c r="B508" s="22" t="s">
        <v>37</v>
      </c>
      <c r="C508" s="23" t="s">
        <v>33</v>
      </c>
      <c r="D508" s="22" t="s">
        <v>38</v>
      </c>
      <c r="E508" s="22" t="s">
        <v>34</v>
      </c>
      <c r="F508" s="25" t="s">
        <v>35</v>
      </c>
      <c r="G508" s="27" t="s">
        <v>39</v>
      </c>
      <c r="H508" s="10" t="s">
        <v>40</v>
      </c>
      <c r="I508" s="10" t="s">
        <v>45</v>
      </c>
      <c r="J508" s="10" t="s">
        <v>46</v>
      </c>
      <c r="K508" s="28" t="s">
        <v>41</v>
      </c>
      <c r="L508" s="30" t="s">
        <v>39</v>
      </c>
      <c r="M508" s="13" t="s">
        <v>40</v>
      </c>
      <c r="N508" s="13" t="s">
        <v>45</v>
      </c>
      <c r="O508" s="13" t="s">
        <v>46</v>
      </c>
      <c r="P508" s="31" t="s">
        <v>41</v>
      </c>
      <c r="Q508" s="33" t="s">
        <v>39</v>
      </c>
      <c r="R508" s="12" t="s">
        <v>40</v>
      </c>
      <c r="S508" s="12" t="s">
        <v>45</v>
      </c>
      <c r="T508" s="12" t="s">
        <v>46</v>
      </c>
      <c r="U508" s="34" t="s">
        <v>41</v>
      </c>
      <c r="V508" s="36" t="s">
        <v>39</v>
      </c>
      <c r="W508" s="11" t="s">
        <v>40</v>
      </c>
      <c r="X508" s="11" t="s">
        <v>45</v>
      </c>
      <c r="Y508" s="11" t="s">
        <v>46</v>
      </c>
      <c r="Z508" s="37" t="s">
        <v>41</v>
      </c>
      <c r="AA508" s="39" t="s">
        <v>41</v>
      </c>
      <c r="AB508" s="40" t="s">
        <v>43</v>
      </c>
      <c r="AC508" s="161"/>
      <c r="AD508" s="43" t="s">
        <v>27</v>
      </c>
      <c r="AE508" s="1" t="s">
        <v>28</v>
      </c>
      <c r="AF508" s="1" t="s">
        <v>29</v>
      </c>
      <c r="AG508" s="1" t="s">
        <v>30</v>
      </c>
      <c r="AH508" s="139"/>
    </row>
    <row r="509" spans="1:34" x14ac:dyDescent="0.25">
      <c r="A509" s="24">
        <v>2</v>
      </c>
      <c r="B509" s="9">
        <v>9</v>
      </c>
      <c r="C509" s="9">
        <v>500</v>
      </c>
      <c r="D509" s="9">
        <v>2</v>
      </c>
      <c r="E509" s="48">
        <f>B509*C509/60+D509</f>
        <v>77</v>
      </c>
      <c r="F509" s="100">
        <v>76</v>
      </c>
      <c r="G509" s="49">
        <f>B$5*(1-AD509*C$5)</f>
        <v>0</v>
      </c>
      <c r="H509" s="50">
        <f>G509+E509</f>
        <v>77</v>
      </c>
      <c r="I509" s="15">
        <f>(H509/D$5)^E$5</f>
        <v>0.13693992990275231</v>
      </c>
      <c r="J509" s="15">
        <f>(G509/D$5)^E$5</f>
        <v>0</v>
      </c>
      <c r="K509" s="29">
        <f>1-EXP(J509-I509)</f>
        <v>0.1279773929583623</v>
      </c>
      <c r="L509" s="51">
        <f>B$6*(1-AE509*C$6)</f>
        <v>0</v>
      </c>
      <c r="M509" s="52">
        <f>L509+E509</f>
        <v>77</v>
      </c>
      <c r="N509" s="17">
        <f>(M509/D$6)^E$6</f>
        <v>0.10605109964467559</v>
      </c>
      <c r="O509" s="17">
        <f>(L509/D$6)^E$6</f>
        <v>0</v>
      </c>
      <c r="P509" s="32">
        <f>1-EXP(O509-N509)</f>
        <v>0.10062131102974814</v>
      </c>
      <c r="Q509" s="53">
        <f>B$7*(1-AF509*C$7)</f>
        <v>0</v>
      </c>
      <c r="R509" s="54">
        <f>Q509+E509</f>
        <v>77</v>
      </c>
      <c r="S509" s="16">
        <f>(R509/D$7)^E$7</f>
        <v>0.2221804751105394</v>
      </c>
      <c r="T509" s="16">
        <f>(Q509/D$7)^E$7</f>
        <v>0</v>
      </c>
      <c r="U509" s="35">
        <f>1-EXP(T509-S509)</f>
        <v>0.19922916791162293</v>
      </c>
      <c r="V509" s="55">
        <f>B$8*(1-AG509*C$8)</f>
        <v>0</v>
      </c>
      <c r="W509" s="56">
        <f>V509+E509</f>
        <v>77</v>
      </c>
      <c r="X509" s="18">
        <f>(W509/D$8)^E$8</f>
        <v>1.1551497592884551E-2</v>
      </c>
      <c r="Y509" s="18">
        <f>(V509/D$8)^E$8</f>
        <v>0</v>
      </c>
      <c r="Z509" s="38">
        <f>1-EXP(Y509-X509)</f>
        <v>1.1485035204098715E-2</v>
      </c>
      <c r="AA509" s="41">
        <f>K509*P509*U509*Z509</f>
        <v>2.9465138194053318E-5</v>
      </c>
      <c r="AB509" s="42">
        <f>1-AA509</f>
        <v>0.99997053486180598</v>
      </c>
      <c r="AC509" s="47">
        <f>(AD509*F$5+AE509*F$6+AF509*F$7+AG509*F$8)+E509</f>
        <v>77</v>
      </c>
      <c r="AD509" s="43">
        <v>0</v>
      </c>
      <c r="AE509" s="1">
        <v>0</v>
      </c>
      <c r="AF509" s="1">
        <v>0</v>
      </c>
      <c r="AG509" s="1">
        <v>0</v>
      </c>
      <c r="AH509" s="74">
        <v>40</v>
      </c>
    </row>
    <row r="510" spans="1:34" x14ac:dyDescent="0.25">
      <c r="A510" s="76">
        <v>1</v>
      </c>
      <c r="B510" s="58">
        <v>6</v>
      </c>
      <c r="C510" s="9">
        <v>500</v>
      </c>
      <c r="D510" s="58">
        <v>5</v>
      </c>
      <c r="E510" s="48">
        <f t="shared" ref="E510:E512" si="53">B510*C510/60+D510</f>
        <v>55</v>
      </c>
      <c r="F510" s="100">
        <v>106</v>
      </c>
      <c r="G510" s="49">
        <f>H509*(1-AD510*C$5)</f>
        <v>77</v>
      </c>
      <c r="H510" s="50">
        <f>G510+E510</f>
        <v>132</v>
      </c>
      <c r="I510" s="15">
        <f>(H510/D$5)^E$5</f>
        <v>0.34793173894508389</v>
      </c>
      <c r="J510" s="15">
        <f>(G510/D$5)^E$5</f>
        <v>0.13693992990275231</v>
      </c>
      <c r="K510" s="29">
        <f>1-EXP(J510-I510)</f>
        <v>0.19021930026645628</v>
      </c>
      <c r="L510" s="51">
        <f>M509*(1-AE510*C$6)</f>
        <v>77</v>
      </c>
      <c r="M510" s="52">
        <f>L510+E510</f>
        <v>132</v>
      </c>
      <c r="N510" s="17">
        <f>(M510/D$6)^E$6</f>
        <v>0.29214038913862722</v>
      </c>
      <c r="O510" s="17">
        <f>(L510/D$6)^E$6</f>
        <v>0.10605109964467559</v>
      </c>
      <c r="P510" s="32">
        <f>1-EXP(O510-N510)</f>
        <v>0.16980053641757786</v>
      </c>
      <c r="Q510" s="53">
        <f>R509*(1-AF510*C$7)</f>
        <v>77</v>
      </c>
      <c r="R510" s="54">
        <f>Q510+E510</f>
        <v>132</v>
      </c>
      <c r="S510" s="16">
        <f>(R510/D$7)^E$7</f>
        <v>0.82324306668270808</v>
      </c>
      <c r="T510" s="16">
        <f>(Q510/D$7)^E$7</f>
        <v>0.2221804751105394</v>
      </c>
      <c r="U510" s="35">
        <f>1-EXP(T510-S510)</f>
        <v>0.45177121680306542</v>
      </c>
      <c r="V510" s="55">
        <f>W509*(1-AG510*C$8)</f>
        <v>77</v>
      </c>
      <c r="W510" s="56">
        <f>V510+E510</f>
        <v>132</v>
      </c>
      <c r="X510" s="18">
        <f>(W510/D$8)^E$8</f>
        <v>4.5171946303006208E-2</v>
      </c>
      <c r="Y510" s="18">
        <f>(V510/D$8)^E$8</f>
        <v>1.1551497592884551E-2</v>
      </c>
      <c r="Z510" s="38">
        <f>1-EXP(Y510-X510)</f>
        <v>3.3061562270589318E-2</v>
      </c>
      <c r="AA510" s="41">
        <f>K510*P510*U510*Z510</f>
        <v>4.8243140003936076E-4</v>
      </c>
      <c r="AB510" s="42">
        <f>1-AA510</f>
        <v>0.99951756859996066</v>
      </c>
      <c r="AC510" s="47">
        <f>AF510*F$7+E510+AC509</f>
        <v>132</v>
      </c>
      <c r="AD510" s="43">
        <v>0</v>
      </c>
      <c r="AE510" s="1">
        <v>0</v>
      </c>
      <c r="AF510" s="1">
        <v>0</v>
      </c>
      <c r="AG510" s="1">
        <v>0</v>
      </c>
      <c r="AH510" s="74">
        <v>110</v>
      </c>
    </row>
    <row r="511" spans="1:34" x14ac:dyDescent="0.25">
      <c r="A511" s="24">
        <v>4</v>
      </c>
      <c r="B511" s="9">
        <v>8</v>
      </c>
      <c r="C511" s="58">
        <v>500</v>
      </c>
      <c r="D511" s="58">
        <v>3</v>
      </c>
      <c r="E511" s="48">
        <f t="shared" si="53"/>
        <v>69.666666666666671</v>
      </c>
      <c r="F511" s="100">
        <v>140</v>
      </c>
      <c r="G511" s="68">
        <f>H510*(1-AD511*C$5)</f>
        <v>92.399999999999991</v>
      </c>
      <c r="H511" s="69">
        <f>G511+E511</f>
        <v>162.06666666666666</v>
      </c>
      <c r="I511" s="70">
        <f>(H511/D$5)^E$5</f>
        <v>0.49621655271682308</v>
      </c>
      <c r="J511" s="70">
        <f>(G511/D$5)^E$5</f>
        <v>0.18772134485664987</v>
      </c>
      <c r="K511" s="29">
        <f>1-EXP(J511-I511)</f>
        <v>0.26544852773589911</v>
      </c>
      <c r="L511" s="51">
        <f>M510*(1-AE511*C$6)</f>
        <v>92.399999999999991</v>
      </c>
      <c r="M511" s="52">
        <f>L511+E511</f>
        <v>162.06666666666666</v>
      </c>
      <c r="N511" s="17">
        <f>(M511/D$6)^E$6</f>
        <v>0.42967171801167126</v>
      </c>
      <c r="O511" s="17">
        <f>(L511/D$6)^E$6</f>
        <v>0.14940871089337018</v>
      </c>
      <c r="P511" s="32">
        <f>1-EXP(O511-N511)</f>
        <v>0.24441500891064738</v>
      </c>
      <c r="Q511" s="53">
        <f>R510*(1-AF511*C$7)</f>
        <v>92.399999999999991</v>
      </c>
      <c r="R511" s="54">
        <f>Q511+E511</f>
        <v>162.06666666666666</v>
      </c>
      <c r="S511" s="16">
        <f>(R511/D$7)^E$7</f>
        <v>1.3554675326688883</v>
      </c>
      <c r="T511" s="16">
        <f>(Q511/D$7)^E$7</f>
        <v>0.34603204471909926</v>
      </c>
      <c r="U511" s="35">
        <f>1-EXP(T511-S511)</f>
        <v>0.63557535638113816</v>
      </c>
      <c r="V511" s="55">
        <f>W510*(1-AG511*C$8)</f>
        <v>92.399999999999991</v>
      </c>
      <c r="W511" s="56">
        <f>V511+E511</f>
        <v>162.06666666666666</v>
      </c>
      <c r="X511" s="18">
        <f>(W511/D$8)^E$8</f>
        <v>7.591748594503879E-2</v>
      </c>
      <c r="Y511" s="18">
        <f>(V511/D$8)^E$8</f>
        <v>1.832174542453625E-2</v>
      </c>
      <c r="Z511" s="38">
        <f>1-EXP(Y511-X511)</f>
        <v>5.5968496007891999E-2</v>
      </c>
      <c r="AA511" s="41">
        <f>K511*P511*U511*Z511</f>
        <v>2.3079100512277597E-3</v>
      </c>
      <c r="AB511" s="42">
        <f>1-AA511</f>
        <v>0.99769208994877223</v>
      </c>
      <c r="AC511" s="47">
        <f>(AF511*F$7)+E511+AC510</f>
        <v>209.66666666666669</v>
      </c>
      <c r="AD511" s="77">
        <v>1</v>
      </c>
      <c r="AE511" s="78">
        <v>1</v>
      </c>
      <c r="AF511" s="78">
        <v>1</v>
      </c>
      <c r="AG511" s="78">
        <v>1</v>
      </c>
      <c r="AH511" s="74">
        <v>85</v>
      </c>
    </row>
    <row r="512" spans="1:34" ht="15.75" thickBot="1" x14ac:dyDescent="0.3">
      <c r="A512" s="57">
        <v>3</v>
      </c>
      <c r="B512" s="58">
        <v>5</v>
      </c>
      <c r="C512" s="58">
        <v>500</v>
      </c>
      <c r="D512" s="9">
        <v>4</v>
      </c>
      <c r="E512" s="48">
        <f t="shared" si="53"/>
        <v>45.666666666666664</v>
      </c>
      <c r="F512" s="100">
        <v>95</v>
      </c>
      <c r="G512" s="68">
        <f>H511*(1-AD512*C$5)</f>
        <v>113.44666666666666</v>
      </c>
      <c r="H512" s="69">
        <f>G512+E512</f>
        <v>159.11333333333332</v>
      </c>
      <c r="I512" s="70">
        <f>(H512/D$5)^E$5</f>
        <v>0.48067719678878712</v>
      </c>
      <c r="J512" s="70">
        <f>(G512/D$5)^E$5</f>
        <v>0.26772618933403824</v>
      </c>
      <c r="K512" s="29">
        <f>1-EXP(J512-I512)</f>
        <v>0.19180426818747698</v>
      </c>
      <c r="L512" s="51">
        <f>M511*(1-AE512*C$6)</f>
        <v>113.44666666666666</v>
      </c>
      <c r="M512" s="52">
        <f>L512+E512</f>
        <v>159.11333333333332</v>
      </c>
      <c r="N512" s="17">
        <f>(M512/D$6)^E$6</f>
        <v>0.41506964346675868</v>
      </c>
      <c r="O512" s="17">
        <f>(L512/D$6)^E$6</f>
        <v>0.21974605320663379</v>
      </c>
      <c r="P512" s="32">
        <f>1-EXP(O512-N512)</f>
        <v>0.17743156014988948</v>
      </c>
      <c r="Q512" s="53">
        <f>R511*(1-AF512*C$7)</f>
        <v>113.44666666666666</v>
      </c>
      <c r="R512" s="54">
        <f>Q512+E512</f>
        <v>159.11333333333332</v>
      </c>
      <c r="S512" s="16">
        <f>(R512/D$7)^E$7</f>
        <v>1.2962250315687902</v>
      </c>
      <c r="T512" s="16">
        <f>(Q512/D$7)^E$7</f>
        <v>0.56974084673408143</v>
      </c>
      <c r="U512" s="35">
        <f>1-EXP(T512-S512)</f>
        <v>0.51639372505256609</v>
      </c>
      <c r="V512" s="55">
        <f>W511*(1-AG512*C$8)</f>
        <v>113.44666666666666</v>
      </c>
      <c r="W512" s="56">
        <f>V512+E512</f>
        <v>159.11333333333332</v>
      </c>
      <c r="X512" s="18">
        <f>(W512/D$8)^E$8</f>
        <v>7.246601667912464E-2</v>
      </c>
      <c r="Y512" s="18">
        <f>(V512/D$8)^E$8</f>
        <v>3.0792139028626313E-2</v>
      </c>
      <c r="Z512" s="38">
        <f>1-EXP(Y512-X512)</f>
        <v>4.0817459565590464E-2</v>
      </c>
      <c r="AA512" s="41">
        <f>K512*P512*U512*Z512</f>
        <v>7.1732516356973533E-4</v>
      </c>
      <c r="AB512" s="42">
        <f>1-AA512</f>
        <v>0.9992826748364303</v>
      </c>
      <c r="AC512" s="47">
        <f>(AF512*F$7)+E512+AC511</f>
        <v>263.33333333333337</v>
      </c>
      <c r="AD512" s="80">
        <v>1</v>
      </c>
      <c r="AE512" s="45">
        <v>1</v>
      </c>
      <c r="AF512" s="81">
        <v>1</v>
      </c>
      <c r="AG512" s="45">
        <v>1</v>
      </c>
      <c r="AH512" s="94">
        <v>67</v>
      </c>
    </row>
    <row r="513" spans="1:33" ht="18.75" x14ac:dyDescent="0.3">
      <c r="A513" s="132" t="s">
        <v>53</v>
      </c>
      <c r="B513" s="132"/>
      <c r="C513" s="132"/>
      <c r="D513" s="132"/>
      <c r="E513" s="132"/>
      <c r="F513" s="132"/>
      <c r="G513" s="132"/>
      <c r="H513" s="132"/>
      <c r="I513" s="132"/>
      <c r="J513" s="132"/>
      <c r="AG513" s="46"/>
    </row>
    <row r="514" spans="1:33" ht="15.75" x14ac:dyDescent="0.25">
      <c r="A514" s="19" t="s">
        <v>48</v>
      </c>
      <c r="B514" s="60" t="s">
        <v>49</v>
      </c>
      <c r="C514" s="61" t="s">
        <v>50</v>
      </c>
      <c r="D514" s="19" t="s">
        <v>58</v>
      </c>
      <c r="E514" s="60" t="s">
        <v>57</v>
      </c>
      <c r="F514" s="61" t="s">
        <v>50</v>
      </c>
      <c r="G514" s="19" t="s">
        <v>82</v>
      </c>
      <c r="H514" s="60" t="s">
        <v>61</v>
      </c>
      <c r="I514" s="61" t="s">
        <v>50</v>
      </c>
      <c r="J514" s="19" t="s">
        <v>54</v>
      </c>
      <c r="K514" s="83" t="s">
        <v>84</v>
      </c>
      <c r="L514" s="61" t="s">
        <v>50</v>
      </c>
      <c r="M514" s="61" t="s">
        <v>85</v>
      </c>
      <c r="O514" s="174" t="s">
        <v>64</v>
      </c>
      <c r="P514" s="174"/>
      <c r="Q514" s="175" t="s">
        <v>109</v>
      </c>
      <c r="R514" s="175"/>
    </row>
    <row r="515" spans="1:33" ht="24.75" x14ac:dyDescent="0.25">
      <c r="A515" s="61" t="s">
        <v>51</v>
      </c>
      <c r="B515" s="1">
        <f>AA509</f>
        <v>2.9465138194053318E-5</v>
      </c>
      <c r="C515" s="59">
        <f>MAX(AC509+1*L502-F509,0)</f>
        <v>13</v>
      </c>
      <c r="D515" s="62" t="s">
        <v>55</v>
      </c>
      <c r="E515" s="1">
        <f>AA509*AA510</f>
        <v>1.4214907871310384E-8</v>
      </c>
      <c r="F515" s="1">
        <f>MAX(AC510+2*L502-F510,0)</f>
        <v>50</v>
      </c>
      <c r="G515" s="62" t="s">
        <v>59</v>
      </c>
      <c r="H515" s="1">
        <f>AA509*AA510*AA511</f>
        <v>3.2806728753473837E-11</v>
      </c>
      <c r="I515" s="1">
        <f>AC511+3*L502-F511</f>
        <v>105.66666666666669</v>
      </c>
      <c r="J515" s="62" t="s">
        <v>83</v>
      </c>
      <c r="K515" s="1">
        <f>AA509*AA510*AA511*AA512</f>
        <v>2.3533092069273559E-14</v>
      </c>
      <c r="L515" s="1">
        <f>AC512+4*L502-F512</f>
        <v>216.33333333333337</v>
      </c>
      <c r="M515" s="1">
        <f>B515*C515*AH509+E515*F515*AH510+H515*I515*AH511+K515*L515*AH512</f>
        <v>1.5400348854398499E-2</v>
      </c>
      <c r="O515" s="1" t="s">
        <v>27</v>
      </c>
      <c r="P515" s="1">
        <f>2*H500</f>
        <v>3640</v>
      </c>
      <c r="Q515" s="1">
        <f>(K509*(1-P509)*(1-U509)*(1-Z509))+(P509*(1-K509)*(1-U509)*(1-Z509))+(U509*(1-K509)*(1-P509)*(1-Z509))+(Z509*(1-K509)*(1-P509)*(1-U509))</f>
        <v>0.32223571239848364</v>
      </c>
      <c r="R515" s="1">
        <f>Q515*(L$7*(J$5*K$5+L$5)+I$5)</f>
        <v>11357.197683484555</v>
      </c>
    </row>
    <row r="516" spans="1:33" ht="24.75" x14ac:dyDescent="0.25">
      <c r="A516" s="62" t="s">
        <v>52</v>
      </c>
      <c r="B516" s="1">
        <f>AB509</f>
        <v>0.99997053486180598</v>
      </c>
      <c r="C516" s="59">
        <f>MAX(AC509-F509,0)</f>
        <v>1</v>
      </c>
      <c r="D516" s="62" t="s">
        <v>56</v>
      </c>
      <c r="E516" s="1">
        <f>AA509*AB510+AA510*AB509</f>
        <v>5.118681084176715E-4</v>
      </c>
      <c r="F516" s="1">
        <f>MAX(AC510+1*L502-F510,0)</f>
        <v>38</v>
      </c>
      <c r="G516" s="62" t="s">
        <v>60</v>
      </c>
      <c r="H516" s="1">
        <f>AA509*AA510*AB511+AA510*AA511*AB509+AA509*AA511*AB510</f>
        <v>1.1955276534626414E-6</v>
      </c>
      <c r="I516" s="1">
        <f>AC511+2*L502-F511</f>
        <v>93.666666666666686</v>
      </c>
      <c r="J516" s="62" t="s">
        <v>59</v>
      </c>
      <c r="K516">
        <f>AB509*AA510*AA511*AA512+AB510*AA509*AA511*AA512*+AB511*AA509*AA510*AA512+AB512*AA509*AA510*AA511</f>
        <v>8.3143543711695455E-10</v>
      </c>
      <c r="L516" s="1">
        <f>AC512+3*L502-F512</f>
        <v>204.33333333333337</v>
      </c>
      <c r="M516" s="1">
        <f>B516*C516*AH509+E516*F516*AH510+H516*I516*AH511+K516*L516*AH512</f>
        <v>42.147959862954039</v>
      </c>
      <c r="O516" s="1" t="s">
        <v>28</v>
      </c>
      <c r="P516" s="1">
        <f>2*H501</f>
        <v>5440</v>
      </c>
      <c r="Q516" s="1">
        <f t="shared" ref="Q516:Q518" si="54">(K510*(1-P510)*(1-U510)*(1-Z510))+(P510*(1-K510)*(1-U510)*(1-Z510))+(U510*(1-K510)*(1-P510)*(1-Z510))+(Z510*(1-K510)*(1-P510)*(1-U510))</f>
        <v>0.46246423864147862</v>
      </c>
      <c r="R516" s="1">
        <f t="shared" ref="R516:R518" si="55">Q516*(L$7*(J$5*K$5+L$5)+I$5)</f>
        <v>16299.552090918914</v>
      </c>
    </row>
    <row r="517" spans="1:33" ht="24.75" x14ac:dyDescent="0.25">
      <c r="A517" s="1"/>
      <c r="B517" s="1"/>
      <c r="C517" s="1"/>
      <c r="D517" s="62" t="s">
        <v>52</v>
      </c>
      <c r="E517" s="1">
        <f>AB509*AB510</f>
        <v>0.99948811767667456</v>
      </c>
      <c r="F517" s="59">
        <f>MAX(AC510-F510,0)</f>
        <v>26</v>
      </c>
      <c r="G517" s="62" t="s">
        <v>56</v>
      </c>
      <c r="H517" s="1">
        <f>AA509*AB510*AB511+AA510*AB509*AB511*+AA511*AB509*AB510</f>
        <v>3.0493190502417952E-5</v>
      </c>
      <c r="I517" s="1">
        <f>AC511+1*L502-F511</f>
        <v>81.666666666666686</v>
      </c>
      <c r="J517" s="62" t="s">
        <v>60</v>
      </c>
      <c r="K517" s="1">
        <f>AA509*AA510*AB511*AB512 + AA509*AA511*AB510*AB512 + AA509*AA512*AB510*AB511 + AA510*AA511*AB509*AB512 + AA510*AA512*AB509*AB511 + AA511*AA512*AB509*AB510</f>
        <v>3.2156730596749025E-6</v>
      </c>
      <c r="L517" s="1">
        <f>AC512+2*L502-F512</f>
        <v>192.33333333333337</v>
      </c>
      <c r="M517" s="1">
        <f>B517*C517*AH509+E517*F517*AH510+H517*I517*AH511+K517*L517*AH512</f>
        <v>2858.7891283542986</v>
      </c>
      <c r="O517" s="1" t="s">
        <v>29</v>
      </c>
      <c r="P517" s="1">
        <f>2*(F502*(J500*K500+L500)+H502)</f>
        <v>28200</v>
      </c>
      <c r="Q517" s="1">
        <f t="shared" si="54"/>
        <v>0.47509833067729496</v>
      </c>
      <c r="R517" s="1">
        <f t="shared" si="55"/>
        <v>16744.840664721261</v>
      </c>
    </row>
    <row r="518" spans="1:33" ht="24.75" x14ac:dyDescent="0.25">
      <c r="A518" s="1"/>
      <c r="B518" s="1"/>
      <c r="C518" s="1"/>
      <c r="D518" s="1"/>
      <c r="E518" s="1"/>
      <c r="F518" s="1"/>
      <c r="G518" s="62" t="s">
        <v>52</v>
      </c>
      <c r="H518" s="1">
        <f>AB509*AB510*AB511</f>
        <v>0.99718138900380582</v>
      </c>
      <c r="I518" s="63">
        <f>AC511-F511</f>
        <v>69.666666666666686</v>
      </c>
      <c r="J518" s="62" t="s">
        <v>56</v>
      </c>
      <c r="K518" s="1">
        <f>AA509*AB510*AB511*AB512+AA510*AB509*AB511*AB512+AA511*AB509*AB510*AB512+AA512*AB509*AB510*AB511</f>
        <v>3.5306977357216314E-3</v>
      </c>
      <c r="L518" s="1">
        <f>AC512+1*L502-F512</f>
        <v>180.33333333333337</v>
      </c>
      <c r="M518" s="1">
        <f>B518*C518*AH509+E518*F518*AH510+H518*I518*AH511+K518*L518*AH512</f>
        <v>5947.6348588264382</v>
      </c>
      <c r="O518" s="1" t="s">
        <v>30</v>
      </c>
      <c r="P518" s="1">
        <f>2*H503</f>
        <v>8640</v>
      </c>
      <c r="Q518" s="1">
        <f t="shared" si="54"/>
        <v>0.48211040136690014</v>
      </c>
      <c r="R518" s="1">
        <f t="shared" si="55"/>
        <v>16991.981096176394</v>
      </c>
    </row>
    <row r="519" spans="1:33" ht="30" x14ac:dyDescent="0.25">
      <c r="I519" s="84"/>
      <c r="J519" s="62" t="s">
        <v>52</v>
      </c>
      <c r="K519" s="85">
        <f>AB509*AB510*AB511*AB512</f>
        <v>0.99646608570082995</v>
      </c>
      <c r="L519" s="1">
        <f>AC512+0*L502-F512</f>
        <v>168.33333333333337</v>
      </c>
      <c r="M519" s="1">
        <f>B519*C519*AH509+E519*F519*AH510+H519*I519*AH511+K519*L519*AH512</f>
        <v>11238.476669895863</v>
      </c>
      <c r="O519" s="64" t="s">
        <v>65</v>
      </c>
      <c r="P519" s="65">
        <f>SUM(P515:P518)</f>
        <v>45920</v>
      </c>
      <c r="Q519" s="96" t="s">
        <v>108</v>
      </c>
      <c r="R519" s="97">
        <f>SUM(R515:R518)</f>
        <v>61393.571535301126</v>
      </c>
    </row>
    <row r="520" spans="1:33" x14ac:dyDescent="0.25">
      <c r="L520" s="176" t="s">
        <v>63</v>
      </c>
      <c r="M520" s="177">
        <f>SUM(M515:M519)</f>
        <v>20087.064017288409</v>
      </c>
    </row>
    <row r="521" spans="1:33" x14ac:dyDescent="0.25">
      <c r="L521" s="176"/>
      <c r="M521" s="177"/>
    </row>
    <row r="522" spans="1:33" x14ac:dyDescent="0.25">
      <c r="A522" s="178" t="s">
        <v>90</v>
      </c>
      <c r="B522" s="178"/>
      <c r="C522" s="178"/>
      <c r="D522" s="178"/>
      <c r="E522" s="178"/>
      <c r="F522" s="178"/>
      <c r="G522" s="178"/>
      <c r="H522" s="178"/>
      <c r="I522" s="178"/>
      <c r="J522" s="178"/>
      <c r="K522" s="178"/>
      <c r="L522" s="178"/>
      <c r="M522" s="178"/>
      <c r="N522" s="178"/>
    </row>
    <row r="523" spans="1:33" ht="15.75" x14ac:dyDescent="0.25">
      <c r="A523" s="87" t="s">
        <v>75</v>
      </c>
      <c r="B523" s="62" t="s">
        <v>49</v>
      </c>
      <c r="C523" s="90" t="s">
        <v>87</v>
      </c>
      <c r="D523" s="62" t="s">
        <v>88</v>
      </c>
      <c r="E523" s="87" t="s">
        <v>77</v>
      </c>
      <c r="F523" s="62" t="s">
        <v>57</v>
      </c>
      <c r="G523" s="90" t="s">
        <v>78</v>
      </c>
      <c r="H523" s="62" t="s">
        <v>88</v>
      </c>
      <c r="I523" s="87" t="s">
        <v>86</v>
      </c>
      <c r="J523" s="62" t="s">
        <v>61</v>
      </c>
      <c r="K523" s="90" t="s">
        <v>103</v>
      </c>
      <c r="L523" s="62" t="s">
        <v>88</v>
      </c>
      <c r="M523" s="87" t="s">
        <v>76</v>
      </c>
      <c r="N523" s="62" t="s">
        <v>84</v>
      </c>
      <c r="O523" s="90" t="s">
        <v>102</v>
      </c>
      <c r="P523" s="62" t="s">
        <v>88</v>
      </c>
    </row>
    <row r="524" spans="1:33" ht="24.75" x14ac:dyDescent="0.25">
      <c r="A524" s="62" t="s">
        <v>51</v>
      </c>
      <c r="B524" s="86">
        <v>2.9465138194053318E-5</v>
      </c>
      <c r="C524" s="86">
        <f>AC509+1*L502</f>
        <v>89</v>
      </c>
      <c r="D524" s="86">
        <f>MAX(B524*1.5*((C524-F509)*500/2),0)</f>
        <v>0.14364254869600993</v>
      </c>
      <c r="E524" s="62" t="s">
        <v>55</v>
      </c>
      <c r="F524" s="86">
        <v>1.4214907871310384E-8</v>
      </c>
      <c r="G524" s="86">
        <f>AC510+2*L502</f>
        <v>156</v>
      </c>
      <c r="H524" s="86">
        <f>F524*1.5*((G524-F510)*500/2+(G524-F511)*500+(G524-F512)*500)</f>
        <v>1.0874404521552443E-3</v>
      </c>
      <c r="I524" s="62" t="s">
        <v>59</v>
      </c>
      <c r="J524" s="86">
        <v>3.2806728753473837E-11</v>
      </c>
      <c r="K524" s="86">
        <f>AC511+3*L502</f>
        <v>245.66666666666669</v>
      </c>
      <c r="L524" s="86">
        <f>J524*1.5*((K524-G524)*500/2+(K524-G524)*500)</f>
        <v>3.3093787630066739E-6</v>
      </c>
      <c r="M524" s="62" t="s">
        <v>83</v>
      </c>
      <c r="N524" s="86">
        <v>2.3533092069273559E-14</v>
      </c>
      <c r="O524" s="86">
        <f>AC512+4*L502</f>
        <v>311.33333333333337</v>
      </c>
      <c r="P524" s="86">
        <f>N524*1.5*((O524-K524)*500/2)</f>
        <v>5.7950239220586158E-10</v>
      </c>
    </row>
    <row r="525" spans="1:33" ht="24.75" x14ac:dyDescent="0.25">
      <c r="A525" s="62" t="s">
        <v>52</v>
      </c>
      <c r="B525" s="86">
        <v>0.99997053486180598</v>
      </c>
      <c r="C525" s="88">
        <f>AC509</f>
        <v>77</v>
      </c>
      <c r="D525" s="86">
        <f>MAX(B525*1.5*((C525-F509)*500/2),0)</f>
        <v>374.98895057317725</v>
      </c>
      <c r="E525" s="62" t="s">
        <v>56</v>
      </c>
      <c r="F525" s="86">
        <v>5.118681084176715E-4</v>
      </c>
      <c r="G525" s="86">
        <f>AC510+1*L502</f>
        <v>144</v>
      </c>
      <c r="H525" s="86">
        <f>F525*1.5*((G525-F510)*500/2+(G525-F511)*500+(G525-F512)*500)</f>
        <v>27.640877854554262</v>
      </c>
      <c r="I525" s="62" t="s">
        <v>60</v>
      </c>
      <c r="J525" s="86">
        <v>1.1955276534626414E-6</v>
      </c>
      <c r="K525" s="86">
        <f>AC511+2*L502</f>
        <v>233.66666666666669</v>
      </c>
      <c r="L525" s="86">
        <f>J525*1.5*((K525-G525)*500/2+(K525-G525)*500)</f>
        <v>0.12059885204304398</v>
      </c>
      <c r="M525" s="62" t="s">
        <v>59</v>
      </c>
      <c r="N525" s="86">
        <v>8.3143543711695455E-10</v>
      </c>
      <c r="O525" s="86">
        <f>AC512+3*L502</f>
        <v>299.33333333333337</v>
      </c>
      <c r="P525" s="86">
        <f>N525*1.5*((O525-K525)*500/2)</f>
        <v>2.0474097639005009E-5</v>
      </c>
    </row>
    <row r="526" spans="1:33" x14ac:dyDescent="0.25">
      <c r="A526" s="86"/>
      <c r="B526" s="86"/>
      <c r="C526" s="89" t="s">
        <v>89</v>
      </c>
      <c r="D526" s="89">
        <f>SUM(D524:D525)</f>
        <v>375.13259312187324</v>
      </c>
      <c r="E526" s="62" t="s">
        <v>52</v>
      </c>
      <c r="F526" s="86">
        <v>0.99948811767667456</v>
      </c>
      <c r="G526" s="86">
        <f>AC510+0*L502</f>
        <v>132</v>
      </c>
      <c r="H526" s="86">
        <f>F526*1.5*((G526-F510)*500/2+(G526-F512)*500)</f>
        <v>37480.804412875295</v>
      </c>
      <c r="I526" s="62" t="s">
        <v>56</v>
      </c>
      <c r="J526" s="86">
        <v>3.0493190502417952E-5</v>
      </c>
      <c r="K526" s="86">
        <f>AC511+1*L502</f>
        <v>221.66666666666669</v>
      </c>
      <c r="L526" s="86">
        <f>J526*1.5*((K526-F511)*500/2+(K526-G526)*500)</f>
        <v>2.9845210204241579</v>
      </c>
      <c r="M526" s="62" t="s">
        <v>60</v>
      </c>
      <c r="N526" s="86">
        <v>3.2156730596749025E-6</v>
      </c>
      <c r="O526" s="86">
        <f>AC512+2*L502</f>
        <v>287.33333333333337</v>
      </c>
      <c r="P526" s="86">
        <f>N526*1.5*((O526-K526)*500/2)</f>
        <v>7.9185949094494501E-2</v>
      </c>
    </row>
    <row r="527" spans="1:33" x14ac:dyDescent="0.25">
      <c r="A527" s="86"/>
      <c r="B527" s="86"/>
      <c r="C527" s="86"/>
      <c r="D527" s="86"/>
      <c r="E527" s="86"/>
      <c r="F527" s="86"/>
      <c r="G527" s="89" t="s">
        <v>79</v>
      </c>
      <c r="H527" s="89">
        <f>SUM(H524:H526)</f>
        <v>37508.446378170302</v>
      </c>
      <c r="I527" s="62" t="s">
        <v>52</v>
      </c>
      <c r="J527" s="86">
        <v>0.99718138900380582</v>
      </c>
      <c r="K527" s="86">
        <f>AC511+0*L502</f>
        <v>209.66666666666669</v>
      </c>
      <c r="L527" s="86">
        <f>J527*1.5*((K527-G526)*500/2+(K527-G526)*500)</f>
        <v>87128.723864207554</v>
      </c>
      <c r="M527" s="62" t="s">
        <v>56</v>
      </c>
      <c r="N527" s="86">
        <v>3.5306977357216314E-3</v>
      </c>
      <c r="O527" s="86">
        <f>AC512+1*L502</f>
        <v>275.33333333333337</v>
      </c>
      <c r="P527" s="86">
        <f>N527*1.5*((O527-K527)*500/2)</f>
        <v>86.943431742145194</v>
      </c>
    </row>
    <row r="528" spans="1:33" x14ac:dyDescent="0.25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9" t="s">
        <v>79</v>
      </c>
      <c r="L528" s="89">
        <f>SUM(L524:L527)</f>
        <v>87131.828987389395</v>
      </c>
      <c r="M528" s="62" t="s">
        <v>52</v>
      </c>
      <c r="N528" s="86">
        <v>0.99646608570082995</v>
      </c>
      <c r="O528" s="86">
        <f>AC512+0*L502</f>
        <v>263.33333333333337</v>
      </c>
      <c r="P528" s="86">
        <f>N528*1.5*((O528-K527)*500/2)</f>
        <v>20053.879974729211</v>
      </c>
      <c r="Q528" s="179" t="s">
        <v>80</v>
      </c>
      <c r="R528" s="179"/>
      <c r="S528" s="180">
        <f>D526+H527+L528+P529</f>
        <v>145156.3105715767</v>
      </c>
      <c r="T528" s="180"/>
    </row>
    <row r="529" spans="1:22" x14ac:dyDescent="0.25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9" t="s">
        <v>79</v>
      </c>
      <c r="P529" s="89">
        <f>SUM(P524:P528)</f>
        <v>20140.902612895126</v>
      </c>
      <c r="Q529" s="179"/>
      <c r="R529" s="179"/>
      <c r="S529" s="180"/>
      <c r="T529" s="180"/>
    </row>
    <row r="530" spans="1:22" x14ac:dyDescent="0.25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</row>
    <row r="531" spans="1:22" x14ac:dyDescent="0.25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</row>
    <row r="532" spans="1:22" x14ac:dyDescent="0.25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</row>
    <row r="533" spans="1:22" ht="24.75" thickBot="1" x14ac:dyDescent="0.3">
      <c r="O533" s="131" t="s">
        <v>81</v>
      </c>
      <c r="P533" s="131"/>
      <c r="Q533" s="131">
        <f>(R519+P519+M520+S528)/AC512</f>
        <v>1035.0263776867071</v>
      </c>
      <c r="R533" s="131"/>
    </row>
    <row r="534" spans="1:22" x14ac:dyDescent="0.25">
      <c r="A534" s="181" t="s">
        <v>119</v>
      </c>
      <c r="B534" s="182"/>
    </row>
    <row r="535" spans="1:22" ht="15.75" thickBot="1" x14ac:dyDescent="0.3">
      <c r="A535" s="183"/>
      <c r="B535" s="184"/>
    </row>
    <row r="536" spans="1:22" ht="21" x14ac:dyDescent="0.35">
      <c r="A536" s="185" t="s">
        <v>14</v>
      </c>
      <c r="B536" s="185"/>
      <c r="C536" s="165"/>
      <c r="D536" s="165"/>
      <c r="E536" s="165"/>
      <c r="F536" s="165"/>
      <c r="G536" s="165"/>
      <c r="H536" s="165"/>
      <c r="I536" s="165"/>
      <c r="J536" s="165"/>
      <c r="K536" s="165"/>
      <c r="L536" s="165"/>
      <c r="M536" s="165"/>
      <c r="O536" s="166" t="s">
        <v>72</v>
      </c>
      <c r="P536" s="166"/>
      <c r="Q536" s="166"/>
      <c r="R536" s="166"/>
      <c r="S536" s="166"/>
      <c r="T536" s="166"/>
      <c r="U536" s="166"/>
      <c r="V536" s="166"/>
    </row>
    <row r="537" spans="1:22" ht="36" x14ac:dyDescent="0.25">
      <c r="A537" s="4" t="s">
        <v>15</v>
      </c>
      <c r="B537" s="4" t="s">
        <v>16</v>
      </c>
      <c r="C537" s="4" t="s">
        <v>31</v>
      </c>
      <c r="D537" s="6" t="s">
        <v>17</v>
      </c>
      <c r="E537" s="6" t="s">
        <v>18</v>
      </c>
      <c r="F537" s="6" t="s">
        <v>19</v>
      </c>
      <c r="G537" s="6" t="s">
        <v>20</v>
      </c>
      <c r="H537" s="6" t="s">
        <v>21</v>
      </c>
      <c r="I537" s="6" t="s">
        <v>22</v>
      </c>
      <c r="J537" s="6" t="s">
        <v>23</v>
      </c>
      <c r="K537" s="6" t="s">
        <v>24</v>
      </c>
      <c r="L537" s="6" t="s">
        <v>25</v>
      </c>
      <c r="M537" s="6" t="s">
        <v>26</v>
      </c>
      <c r="N537" s="8"/>
      <c r="O537" s="167" t="s">
        <v>32</v>
      </c>
      <c r="P537" s="167" t="s">
        <v>35</v>
      </c>
      <c r="Q537" s="167" t="s">
        <v>66</v>
      </c>
      <c r="R537" s="99" t="s">
        <v>67</v>
      </c>
      <c r="S537" s="99" t="s">
        <v>68</v>
      </c>
      <c r="T537" s="167" t="s">
        <v>69</v>
      </c>
      <c r="U537" s="71" t="s">
        <v>33</v>
      </c>
      <c r="V537" s="99" t="s">
        <v>70</v>
      </c>
    </row>
    <row r="538" spans="1:22" x14ac:dyDescent="0.25">
      <c r="A538" s="3" t="s">
        <v>27</v>
      </c>
      <c r="B538" s="3">
        <v>0</v>
      </c>
      <c r="C538" s="3">
        <v>0.3</v>
      </c>
      <c r="D538" s="3">
        <v>243</v>
      </c>
      <c r="E538" s="3">
        <v>1.73</v>
      </c>
      <c r="F538" s="3">
        <v>5</v>
      </c>
      <c r="G538" s="169">
        <v>12</v>
      </c>
      <c r="H538" s="3">
        <v>1820</v>
      </c>
      <c r="I538" s="169">
        <v>19645</v>
      </c>
      <c r="J538" s="3">
        <v>20</v>
      </c>
      <c r="K538" s="3">
        <v>40</v>
      </c>
      <c r="L538" s="3">
        <v>500</v>
      </c>
      <c r="M538" s="3">
        <v>1000</v>
      </c>
      <c r="O538" s="168"/>
      <c r="P538" s="168"/>
      <c r="Q538" s="168"/>
      <c r="R538" s="72" t="s">
        <v>71</v>
      </c>
      <c r="S538" s="72" t="s">
        <v>71</v>
      </c>
      <c r="T538" s="168"/>
      <c r="U538" s="73">
        <v>500</v>
      </c>
      <c r="V538" s="3">
        <v>1.5</v>
      </c>
    </row>
    <row r="539" spans="1:22" x14ac:dyDescent="0.25">
      <c r="A539" s="3" t="s">
        <v>28</v>
      </c>
      <c r="B539" s="3">
        <v>0</v>
      </c>
      <c r="C539" s="3">
        <v>0.3</v>
      </c>
      <c r="D539" s="3">
        <v>254</v>
      </c>
      <c r="E539" s="3">
        <v>1.88</v>
      </c>
      <c r="F539" s="3">
        <v>3</v>
      </c>
      <c r="G539" s="170"/>
      <c r="H539" s="3">
        <v>2720</v>
      </c>
      <c r="I539" s="170"/>
      <c r="J539" s="5"/>
      <c r="K539" s="5"/>
      <c r="L539" s="5"/>
      <c r="M539" s="5"/>
      <c r="O539" s="74">
        <v>1</v>
      </c>
      <c r="P539" s="74">
        <v>106</v>
      </c>
      <c r="Q539" s="74">
        <v>110</v>
      </c>
      <c r="R539" s="74">
        <v>6</v>
      </c>
      <c r="S539" s="74">
        <v>5</v>
      </c>
      <c r="T539" s="74">
        <f>R539*$U$5/60+S539</f>
        <v>55</v>
      </c>
      <c r="U539" s="75"/>
    </row>
    <row r="540" spans="1:22" x14ac:dyDescent="0.25">
      <c r="A540" s="3" t="s">
        <v>29</v>
      </c>
      <c r="B540" s="3">
        <v>0</v>
      </c>
      <c r="C540" s="3">
        <v>0.3</v>
      </c>
      <c r="D540" s="3">
        <v>143</v>
      </c>
      <c r="E540" s="3">
        <v>2.4300000000000002</v>
      </c>
      <c r="F540" s="3">
        <v>8</v>
      </c>
      <c r="G540" s="170"/>
      <c r="H540" s="3">
        <v>3700</v>
      </c>
      <c r="I540" s="170"/>
      <c r="J540" s="5"/>
      <c r="K540" s="140" t="s">
        <v>73</v>
      </c>
      <c r="L540" s="141">
        <v>12</v>
      </c>
      <c r="M540" s="140" t="s">
        <v>74</v>
      </c>
      <c r="N540" s="141">
        <v>19645</v>
      </c>
      <c r="O540" s="74">
        <v>2</v>
      </c>
      <c r="P540" s="74">
        <v>76</v>
      </c>
      <c r="Q540" s="74">
        <v>40</v>
      </c>
      <c r="R540" s="74">
        <v>9</v>
      </c>
      <c r="S540" s="74">
        <v>2</v>
      </c>
      <c r="T540" s="74">
        <f t="shared" ref="T540:T542" si="56">R540*$U$5/60+S540</f>
        <v>77</v>
      </c>
      <c r="U540" s="75"/>
    </row>
    <row r="541" spans="1:22" x14ac:dyDescent="0.25">
      <c r="A541" s="3" t="s">
        <v>30</v>
      </c>
      <c r="B541" s="3">
        <v>0</v>
      </c>
      <c r="C541" s="3">
        <v>0.3</v>
      </c>
      <c r="D541" s="3">
        <v>449</v>
      </c>
      <c r="E541" s="3">
        <v>2.5299999999999998</v>
      </c>
      <c r="F541" s="3">
        <v>4</v>
      </c>
      <c r="G541" s="171"/>
      <c r="H541" s="3">
        <v>4320</v>
      </c>
      <c r="I541" s="171"/>
      <c r="J541" s="5"/>
      <c r="K541" s="140"/>
      <c r="L541" s="141"/>
      <c r="M541" s="140"/>
      <c r="N541" s="141"/>
      <c r="O541" s="74">
        <v>3</v>
      </c>
      <c r="P541" s="74">
        <v>95</v>
      </c>
      <c r="Q541" s="74">
        <v>67</v>
      </c>
      <c r="R541" s="74">
        <v>5</v>
      </c>
      <c r="S541" s="74">
        <v>4</v>
      </c>
      <c r="T541" s="74">
        <f t="shared" si="56"/>
        <v>45.666666666666664</v>
      </c>
      <c r="U541" s="75"/>
    </row>
    <row r="542" spans="1:22" ht="15.75" thickBo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O542" s="74">
        <v>4</v>
      </c>
      <c r="P542" s="74">
        <v>140</v>
      </c>
      <c r="Q542" s="94">
        <v>85</v>
      </c>
      <c r="R542" s="94">
        <v>8</v>
      </c>
      <c r="S542" s="94">
        <v>3</v>
      </c>
      <c r="T542" s="74">
        <f t="shared" si="56"/>
        <v>69.666666666666671</v>
      </c>
    </row>
    <row r="543" spans="1:22" ht="15" customHeight="1" x14ac:dyDescent="0.25">
      <c r="A543" s="142" t="s">
        <v>100</v>
      </c>
      <c r="B543" s="144" t="s">
        <v>129</v>
      </c>
      <c r="C543" s="144"/>
      <c r="D543" s="144"/>
      <c r="E543" s="144"/>
      <c r="F543" s="20" t="s">
        <v>27</v>
      </c>
      <c r="G543" s="20" t="s">
        <v>28</v>
      </c>
      <c r="H543" s="20" t="s">
        <v>29</v>
      </c>
      <c r="I543" s="20" t="s">
        <v>30</v>
      </c>
    </row>
    <row r="544" spans="1:22" ht="15.75" customHeight="1" thickBot="1" x14ac:dyDescent="0.3">
      <c r="A544" s="143"/>
      <c r="B544" s="145"/>
      <c r="C544" s="145"/>
      <c r="D544" s="145"/>
      <c r="E544" s="145"/>
      <c r="F544" s="20">
        <v>91</v>
      </c>
      <c r="G544" s="26">
        <v>91</v>
      </c>
      <c r="H544" s="26">
        <v>91</v>
      </c>
      <c r="I544" s="26">
        <v>91</v>
      </c>
    </row>
    <row r="545" spans="1:34" ht="15.75" customHeight="1" thickBot="1" x14ac:dyDescent="0.3">
      <c r="A545" s="143"/>
      <c r="B545" s="145"/>
      <c r="C545" s="145"/>
      <c r="D545" s="145"/>
      <c r="E545" s="145"/>
      <c r="F545" s="7"/>
      <c r="G545" s="146" t="s">
        <v>27</v>
      </c>
      <c r="H545" s="147"/>
      <c r="I545" s="147"/>
      <c r="J545" s="147"/>
      <c r="K545" s="148"/>
      <c r="L545" s="149" t="s">
        <v>28</v>
      </c>
      <c r="M545" s="150"/>
      <c r="N545" s="150"/>
      <c r="O545" s="150"/>
      <c r="P545" s="151"/>
      <c r="Q545" s="152" t="s">
        <v>29</v>
      </c>
      <c r="R545" s="153"/>
      <c r="S545" s="153"/>
      <c r="T545" s="153"/>
      <c r="U545" s="154"/>
      <c r="V545" s="155" t="s">
        <v>30</v>
      </c>
      <c r="W545" s="156"/>
      <c r="X545" s="156"/>
      <c r="Y545" s="156"/>
      <c r="Z545" s="157"/>
      <c r="AA545" s="158" t="s">
        <v>42</v>
      </c>
      <c r="AB545" s="159"/>
      <c r="AC545" s="160" t="s">
        <v>44</v>
      </c>
      <c r="AD545" s="162" t="s">
        <v>47</v>
      </c>
      <c r="AE545" s="163"/>
      <c r="AF545" s="163"/>
      <c r="AG545" s="164"/>
      <c r="AH545" s="138" t="s">
        <v>62</v>
      </c>
    </row>
    <row r="546" spans="1:34" ht="36.75" x14ac:dyDescent="0.25">
      <c r="A546" s="21" t="s">
        <v>32</v>
      </c>
      <c r="B546" s="22" t="s">
        <v>37</v>
      </c>
      <c r="C546" s="23" t="s">
        <v>33</v>
      </c>
      <c r="D546" s="22" t="s">
        <v>38</v>
      </c>
      <c r="E546" s="22" t="s">
        <v>34</v>
      </c>
      <c r="F546" s="25" t="s">
        <v>35</v>
      </c>
      <c r="G546" s="27" t="s">
        <v>39</v>
      </c>
      <c r="H546" s="10" t="s">
        <v>40</v>
      </c>
      <c r="I546" s="10" t="s">
        <v>45</v>
      </c>
      <c r="J546" s="10" t="s">
        <v>46</v>
      </c>
      <c r="K546" s="28" t="s">
        <v>41</v>
      </c>
      <c r="L546" s="30" t="s">
        <v>39</v>
      </c>
      <c r="M546" s="13" t="s">
        <v>40</v>
      </c>
      <c r="N546" s="13" t="s">
        <v>45</v>
      </c>
      <c r="O546" s="13" t="s">
        <v>46</v>
      </c>
      <c r="P546" s="31" t="s">
        <v>41</v>
      </c>
      <c r="Q546" s="33" t="s">
        <v>39</v>
      </c>
      <c r="R546" s="12" t="s">
        <v>40</v>
      </c>
      <c r="S546" s="12" t="s">
        <v>45</v>
      </c>
      <c r="T546" s="12" t="s">
        <v>46</v>
      </c>
      <c r="U546" s="34" t="s">
        <v>41</v>
      </c>
      <c r="V546" s="36" t="s">
        <v>39</v>
      </c>
      <c r="W546" s="11" t="s">
        <v>40</v>
      </c>
      <c r="X546" s="11" t="s">
        <v>45</v>
      </c>
      <c r="Y546" s="11" t="s">
        <v>46</v>
      </c>
      <c r="Z546" s="37" t="s">
        <v>41</v>
      </c>
      <c r="AA546" s="39" t="s">
        <v>41</v>
      </c>
      <c r="AB546" s="40" t="s">
        <v>43</v>
      </c>
      <c r="AC546" s="161"/>
      <c r="AD546" s="43" t="s">
        <v>27</v>
      </c>
      <c r="AE546" s="1" t="s">
        <v>28</v>
      </c>
      <c r="AF546" s="1" t="s">
        <v>29</v>
      </c>
      <c r="AG546" s="1" t="s">
        <v>30</v>
      </c>
      <c r="AH546" s="139"/>
    </row>
    <row r="547" spans="1:34" x14ac:dyDescent="0.25">
      <c r="A547" s="24">
        <v>2</v>
      </c>
      <c r="B547" s="9">
        <v>9</v>
      </c>
      <c r="C547" s="9">
        <v>500</v>
      </c>
      <c r="D547" s="9">
        <v>2</v>
      </c>
      <c r="E547" s="48">
        <f>B547*C547/60+D547</f>
        <v>77</v>
      </c>
      <c r="F547" s="100">
        <v>76</v>
      </c>
      <c r="G547" s="49">
        <f>B$5*(1-AD547*C$5)</f>
        <v>0</v>
      </c>
      <c r="H547" s="50">
        <f>G547+E547</f>
        <v>77</v>
      </c>
      <c r="I547" s="15">
        <f>(H547/D$5)^E$5</f>
        <v>0.13693992990275231</v>
      </c>
      <c r="J547" s="15">
        <f>(G547/D$5)^E$5</f>
        <v>0</v>
      </c>
      <c r="K547" s="29">
        <f>1-EXP(J547-I547)</f>
        <v>0.1279773929583623</v>
      </c>
      <c r="L547" s="51">
        <f>B$6*(1-AE547*C$6)</f>
        <v>0</v>
      </c>
      <c r="M547" s="52">
        <f>L547+E547</f>
        <v>77</v>
      </c>
      <c r="N547" s="17">
        <f>(M547/D$6)^E$6</f>
        <v>0.10605109964467559</v>
      </c>
      <c r="O547" s="17">
        <f>(L547/D$6)^E$6</f>
        <v>0</v>
      </c>
      <c r="P547" s="32">
        <f>1-EXP(O547-N547)</f>
        <v>0.10062131102974814</v>
      </c>
      <c r="Q547" s="53">
        <f>B$7*(1-AF547*C$7)</f>
        <v>0</v>
      </c>
      <c r="R547" s="54">
        <f>Q547+E547</f>
        <v>77</v>
      </c>
      <c r="S547" s="16">
        <f>(R547/D$7)^E$7</f>
        <v>0.2221804751105394</v>
      </c>
      <c r="T547" s="16">
        <f>(Q547/D$7)^E$7</f>
        <v>0</v>
      </c>
      <c r="U547" s="35">
        <f>1-EXP(T547-S547)</f>
        <v>0.19922916791162293</v>
      </c>
      <c r="V547" s="55">
        <f>B$8*(1-AG547*C$8)</f>
        <v>0</v>
      </c>
      <c r="W547" s="56">
        <f>V547+E547</f>
        <v>77</v>
      </c>
      <c r="X547" s="18">
        <f>(W547/D$8)^E$8</f>
        <v>1.1551497592884551E-2</v>
      </c>
      <c r="Y547" s="18">
        <f>(V547/D$8)^E$8</f>
        <v>0</v>
      </c>
      <c r="Z547" s="38">
        <f>1-EXP(Y547-X547)</f>
        <v>1.1485035204098715E-2</v>
      </c>
      <c r="AA547" s="41">
        <f>K547*P547*U547*Z547</f>
        <v>2.9465138194053318E-5</v>
      </c>
      <c r="AB547" s="42">
        <f>1-AA547</f>
        <v>0.99997053486180598</v>
      </c>
      <c r="AC547" s="47">
        <f>(AD547*F$5+AE547*F$6+AF547*F$7+AG547*F$8)+E547</f>
        <v>77</v>
      </c>
      <c r="AD547" s="43">
        <v>0</v>
      </c>
      <c r="AE547" s="1">
        <v>0</v>
      </c>
      <c r="AF547" s="1">
        <v>0</v>
      </c>
      <c r="AG547" s="1">
        <v>0</v>
      </c>
      <c r="AH547" s="74">
        <v>40</v>
      </c>
    </row>
    <row r="548" spans="1:34" x14ac:dyDescent="0.25">
      <c r="A548" s="76">
        <v>3</v>
      </c>
      <c r="B548" s="58">
        <v>5</v>
      </c>
      <c r="C548" s="9">
        <v>500</v>
      </c>
      <c r="D548" s="58">
        <v>4</v>
      </c>
      <c r="E548" s="48">
        <f t="shared" ref="E548:E550" si="57">B548*C548/60+D548</f>
        <v>45.666666666666664</v>
      </c>
      <c r="F548" s="100">
        <v>95</v>
      </c>
      <c r="G548" s="49">
        <f>H547*(1-AD548*C$5)</f>
        <v>77</v>
      </c>
      <c r="H548" s="50">
        <f>G548+E548</f>
        <v>122.66666666666666</v>
      </c>
      <c r="I548" s="15">
        <f>(H548/D$5)^E$5</f>
        <v>0.30647715135734394</v>
      </c>
      <c r="J548" s="15">
        <f>(G548/D$5)^E$5</f>
        <v>0.13693992990275231</v>
      </c>
      <c r="K548" s="29">
        <f>1-EXP(J548-I548)</f>
        <v>0.15594466307173371</v>
      </c>
      <c r="L548" s="51">
        <f>M547*(1-AE548*C$6)</f>
        <v>77</v>
      </c>
      <c r="M548" s="52">
        <f>L548+E548</f>
        <v>122.66666666666666</v>
      </c>
      <c r="N548" s="17">
        <f>(M548/D$6)^E$6</f>
        <v>0.25451802994245737</v>
      </c>
      <c r="O548" s="17">
        <f>(L548/D$6)^E$6</f>
        <v>0.10605109964467559</v>
      </c>
      <c r="P548" s="32">
        <f>1-EXP(O548-N548)</f>
        <v>0.13797148627460298</v>
      </c>
      <c r="Q548" s="53">
        <f>R547*(1-AF548*C$7)</f>
        <v>77</v>
      </c>
      <c r="R548" s="54">
        <f>Q548+E548</f>
        <v>122.66666666666666</v>
      </c>
      <c r="S548" s="16">
        <f>(R548/D$7)^E$7</f>
        <v>0.68887270848465465</v>
      </c>
      <c r="T548" s="16">
        <f>(Q548/D$7)^E$7</f>
        <v>0.2221804751105394</v>
      </c>
      <c r="U548" s="35">
        <f>1-EXP(T548-S548)</f>
        <v>0.3729269471251826</v>
      </c>
      <c r="V548" s="55">
        <f>W547*(1-AG548*C$8)</f>
        <v>77</v>
      </c>
      <c r="W548" s="56">
        <f>V548+E548</f>
        <v>122.66666666666666</v>
      </c>
      <c r="X548" s="18">
        <f>(W548/D$8)^E$8</f>
        <v>3.7522776286050503E-2</v>
      </c>
      <c r="Y548" s="18">
        <f>(V548/D$8)^E$8</f>
        <v>1.1551497592884551E-2</v>
      </c>
      <c r="Z548" s="38">
        <f>1-EXP(Y548-X548)</f>
        <v>2.563692581230792E-2</v>
      </c>
      <c r="AA548" s="41">
        <f>K548*P548*U548*Z548</f>
        <v>2.0570723735404168E-4</v>
      </c>
      <c r="AB548" s="42">
        <f>1-AA548</f>
        <v>0.99979429276264598</v>
      </c>
      <c r="AC548" s="47">
        <f>AF548*F$7+E548+AC547</f>
        <v>122.66666666666666</v>
      </c>
      <c r="AD548" s="43">
        <v>0</v>
      </c>
      <c r="AE548" s="1">
        <v>0</v>
      </c>
      <c r="AF548" s="1">
        <v>0</v>
      </c>
      <c r="AG548" s="1">
        <v>0</v>
      </c>
      <c r="AH548" s="74">
        <v>67</v>
      </c>
    </row>
    <row r="549" spans="1:34" x14ac:dyDescent="0.25">
      <c r="A549" s="24">
        <v>1</v>
      </c>
      <c r="B549" s="9">
        <v>6</v>
      </c>
      <c r="C549" s="58">
        <v>500</v>
      </c>
      <c r="D549" s="58">
        <v>5</v>
      </c>
      <c r="E549" s="48">
        <f t="shared" si="57"/>
        <v>55</v>
      </c>
      <c r="F549" s="100">
        <v>106</v>
      </c>
      <c r="G549" s="68">
        <f>H548*(1-AD549*C$5)</f>
        <v>85.86666666666666</v>
      </c>
      <c r="H549" s="69">
        <f>G549+E549</f>
        <v>140.86666666666667</v>
      </c>
      <c r="I549" s="70">
        <f>(H549/D$5)^E$5</f>
        <v>0.3893493001630618</v>
      </c>
      <c r="J549" s="70">
        <f>(G549/D$5)^E$5</f>
        <v>0.16535514464725598</v>
      </c>
      <c r="K549" s="29">
        <f>1-EXP(J549-I549)</f>
        <v>0.20068019403231441</v>
      </c>
      <c r="L549" s="51">
        <f>M548*(1-AE549*C$6)</f>
        <v>85.86666666666666</v>
      </c>
      <c r="M549" s="52">
        <f>L549+E549</f>
        <v>140.86666666666667</v>
      </c>
      <c r="N549" s="17">
        <f>(M549/D$6)^E$6</f>
        <v>0.33012020048485397</v>
      </c>
      <c r="O549" s="17">
        <f>(L549/D$6)^E$6</f>
        <v>0.13016759122196553</v>
      </c>
      <c r="P549" s="32">
        <f>1-EXP(O549-N549)</f>
        <v>0.18123044574873304</v>
      </c>
      <c r="Q549" s="53">
        <f>R548*(1-AF549*C$7)</f>
        <v>85.86666666666666</v>
      </c>
      <c r="R549" s="54">
        <f>Q549+E549</f>
        <v>140.86666666666667</v>
      </c>
      <c r="S549" s="16">
        <f>(R549/D$7)^E$7</f>
        <v>0.9641341084452858</v>
      </c>
      <c r="T549" s="16">
        <f>(Q549/D$7)^E$7</f>
        <v>0.28955243173642403</v>
      </c>
      <c r="U549" s="35">
        <f>1-EXP(T549-S549)</f>
        <v>0.49063054284691032</v>
      </c>
      <c r="V549" s="55">
        <f>W548*(1-AG549*C$8)</f>
        <v>85.86666666666666</v>
      </c>
      <c r="W549" s="56">
        <f>V549+E549</f>
        <v>140.86666666666667</v>
      </c>
      <c r="X549" s="18">
        <f>(W549/D$8)^E$8</f>
        <v>5.3247791458637797E-2</v>
      </c>
      <c r="Y549" s="18">
        <f>(V549/D$8)^E$8</f>
        <v>1.5219241387637328E-2</v>
      </c>
      <c r="Z549" s="38">
        <f>1-EXP(Y549-X549)</f>
        <v>3.7314544239262948E-2</v>
      </c>
      <c r="AA549" s="41">
        <f>K549*P549*U549*Z549</f>
        <v>6.658377175758855E-4</v>
      </c>
      <c r="AB549" s="42">
        <f>1-AA549</f>
        <v>0.99933416228242411</v>
      </c>
      <c r="AC549" s="47">
        <f>(AF549*F$7)+E549+AC548</f>
        <v>185.66666666666666</v>
      </c>
      <c r="AD549" s="77">
        <v>1</v>
      </c>
      <c r="AE549" s="78">
        <v>1</v>
      </c>
      <c r="AF549" s="78">
        <v>1</v>
      </c>
      <c r="AG549" s="78">
        <v>1</v>
      </c>
      <c r="AH549" s="74">
        <v>110</v>
      </c>
    </row>
    <row r="550" spans="1:34" ht="15.75" thickBot="1" x14ac:dyDescent="0.3">
      <c r="A550" s="57">
        <v>4</v>
      </c>
      <c r="B550" s="58">
        <v>8</v>
      </c>
      <c r="C550" s="58">
        <v>500</v>
      </c>
      <c r="D550" s="9">
        <v>3</v>
      </c>
      <c r="E550" s="48">
        <f t="shared" si="57"/>
        <v>69.666666666666671</v>
      </c>
      <c r="F550" s="100">
        <v>140</v>
      </c>
      <c r="G550" s="68">
        <f>H549*(1-AD550*C$5)</f>
        <v>98.606666666666669</v>
      </c>
      <c r="H550" s="69">
        <f>G550+E550</f>
        <v>168.27333333333334</v>
      </c>
      <c r="I550" s="70">
        <f>(H550/D$5)^E$5</f>
        <v>0.52955077969900988</v>
      </c>
      <c r="J550" s="70">
        <f>(G550/D$5)^E$5</f>
        <v>0.21006756804426371</v>
      </c>
      <c r="K550" s="29">
        <f>1-EXP(J550-I550)</f>
        <v>0.27347560058394416</v>
      </c>
      <c r="L550" s="51">
        <f>M549*(1-AE550*C$6)</f>
        <v>98.606666666666669</v>
      </c>
      <c r="M550" s="52">
        <f>L550+E550</f>
        <v>168.27333333333334</v>
      </c>
      <c r="N550" s="17">
        <f>(M550/D$6)^E$6</f>
        <v>0.46112787141135408</v>
      </c>
      <c r="O550" s="17">
        <f>(L550/D$6)^E$6</f>
        <v>0.16883264152461361</v>
      </c>
      <c r="P550" s="32">
        <f>1-EXP(O550-N550)</f>
        <v>0.25345189987571315</v>
      </c>
      <c r="Q550" s="53">
        <f>R549*(1-AF550*C$7)</f>
        <v>98.606666666666669</v>
      </c>
      <c r="R550" s="54">
        <f>Q550+E550</f>
        <v>168.27333333333334</v>
      </c>
      <c r="S550" s="16">
        <f>(R550/D$7)^E$7</f>
        <v>1.4850825755388559</v>
      </c>
      <c r="T550" s="16">
        <f>(Q550/D$7)^E$7</f>
        <v>0.4052524830522885</v>
      </c>
      <c r="U550" s="35">
        <f>1-EXP(T550-S550)</f>
        <v>0.66034676962163052</v>
      </c>
      <c r="V550" s="55">
        <f>W549*(1-AG550*C$8)</f>
        <v>98.606666666666669</v>
      </c>
      <c r="W550" s="56">
        <f>V550+E550</f>
        <v>168.27333333333334</v>
      </c>
      <c r="X550" s="18">
        <f>(W550/D$8)^E$8</f>
        <v>8.349019216035386E-2</v>
      </c>
      <c r="Y550" s="18">
        <f>(V550/D$8)^E$8</f>
        <v>2.1597308935502563E-2</v>
      </c>
      <c r="Z550" s="38">
        <f>1-EXP(Y550-X550)</f>
        <v>6.0016430592758296E-2</v>
      </c>
      <c r="AA550" s="41">
        <f>K550*P550*U550*Z550</f>
        <v>2.7469854313719741E-3</v>
      </c>
      <c r="AB550" s="42">
        <f>1-AA550</f>
        <v>0.99725301456862803</v>
      </c>
      <c r="AC550" s="47">
        <f>(AF550*F$7)+E550+AC549</f>
        <v>263.33333333333331</v>
      </c>
      <c r="AD550" s="80">
        <v>1</v>
      </c>
      <c r="AE550" s="45">
        <v>1</v>
      </c>
      <c r="AF550" s="81">
        <v>1</v>
      </c>
      <c r="AG550" s="45">
        <v>1</v>
      </c>
      <c r="AH550" s="94">
        <v>85</v>
      </c>
    </row>
    <row r="551" spans="1:34" ht="18.75" x14ac:dyDescent="0.3">
      <c r="A551" s="132" t="s">
        <v>53</v>
      </c>
      <c r="B551" s="132"/>
      <c r="C551" s="132"/>
      <c r="D551" s="132"/>
      <c r="E551" s="132"/>
      <c r="F551" s="132"/>
      <c r="G551" s="132"/>
      <c r="H551" s="132"/>
      <c r="I551" s="132"/>
      <c r="J551" s="132"/>
      <c r="AG551" s="46"/>
    </row>
    <row r="552" spans="1:34" ht="15.75" x14ac:dyDescent="0.25">
      <c r="A552" s="19" t="s">
        <v>48</v>
      </c>
      <c r="B552" s="60" t="s">
        <v>49</v>
      </c>
      <c r="C552" s="61" t="s">
        <v>50</v>
      </c>
      <c r="D552" s="19" t="s">
        <v>54</v>
      </c>
      <c r="E552" s="60" t="s">
        <v>57</v>
      </c>
      <c r="F552" s="61" t="s">
        <v>50</v>
      </c>
      <c r="G552" s="19" t="s">
        <v>58</v>
      </c>
      <c r="H552" s="60" t="s">
        <v>61</v>
      </c>
      <c r="I552" s="61" t="s">
        <v>50</v>
      </c>
      <c r="J552" s="19" t="s">
        <v>82</v>
      </c>
      <c r="K552" s="83" t="s">
        <v>84</v>
      </c>
      <c r="L552" s="61" t="s">
        <v>50</v>
      </c>
      <c r="M552" s="61" t="s">
        <v>85</v>
      </c>
      <c r="O552" s="174" t="s">
        <v>64</v>
      </c>
      <c r="P552" s="174"/>
      <c r="Q552" s="175" t="s">
        <v>109</v>
      </c>
      <c r="R552" s="175"/>
    </row>
    <row r="553" spans="1:34" ht="24.75" x14ac:dyDescent="0.25">
      <c r="A553" s="61" t="s">
        <v>51</v>
      </c>
      <c r="B553" s="1">
        <f>AA547</f>
        <v>2.9465138194053318E-5</v>
      </c>
      <c r="C553" s="59">
        <f>MAX(AC547+1*L540-F547,0)</f>
        <v>13</v>
      </c>
      <c r="D553" s="62" t="s">
        <v>55</v>
      </c>
      <c r="E553" s="1">
        <f>AA547*AA548</f>
        <v>6.0611921761537649E-9</v>
      </c>
      <c r="F553" s="1">
        <f>MAX(AC548+2*L540-F548,0)</f>
        <v>51.666666666666657</v>
      </c>
      <c r="G553" s="62" t="s">
        <v>59</v>
      </c>
      <c r="H553" s="1">
        <f>AA547*AA548*AA549</f>
        <v>4.0357703643590372E-12</v>
      </c>
      <c r="I553" s="1">
        <f>AC549+3*L540-F549</f>
        <v>115.66666666666666</v>
      </c>
      <c r="J553" s="62" t="s">
        <v>83</v>
      </c>
      <c r="K553" s="1">
        <f>AA547*AA548*AA549*AA550</f>
        <v>1.1086202395257039E-14</v>
      </c>
      <c r="L553" s="1">
        <f>AC550+4*L540-F550</f>
        <v>171.33333333333331</v>
      </c>
      <c r="M553" s="1">
        <f>B553*C553*AH547+E553*F553*AH548+H553*I553*AH549+K553*L553*AH550</f>
        <v>1.5342905197727838E-2</v>
      </c>
      <c r="O553" s="1" t="s">
        <v>27</v>
      </c>
      <c r="P553" s="1">
        <f>2*H538</f>
        <v>3640</v>
      </c>
      <c r="Q553" s="1">
        <f>(K547*(1-P547)*(1-U547)*(1-Z547))+(P547*(1-K547)*(1-U547)*(1-Z547))+(U547*(1-K547)*(1-P547)*(1-Z547))+(Z547*(1-K547)*(1-P547)*(1-U547))</f>
        <v>0.32223571239848364</v>
      </c>
      <c r="R553" s="1">
        <f>Q553*(L$7*(J$5*K$5+L$5)+I$5)</f>
        <v>11357.197683484555</v>
      </c>
    </row>
    <row r="554" spans="1:34" ht="24.75" x14ac:dyDescent="0.25">
      <c r="A554" s="62" t="s">
        <v>52</v>
      </c>
      <c r="B554" s="1">
        <f>AB547</f>
        <v>0.99997053486180598</v>
      </c>
      <c r="C554" s="59">
        <f>MAX(AC547-F547,0)</f>
        <v>1</v>
      </c>
      <c r="D554" s="62" t="s">
        <v>56</v>
      </c>
      <c r="E554" s="1">
        <f>AA547*AB548+AA548*AB547</f>
        <v>2.351602531637427E-4</v>
      </c>
      <c r="F554" s="1">
        <f>MAX(AC548+1*L540-F548,0)</f>
        <v>39.666666666666657</v>
      </c>
      <c r="G554" s="62" t="s">
        <v>60</v>
      </c>
      <c r="H554" s="1">
        <f>AA547*AA548*AB549+AA548*AA549*AB547+AA547*AA549*AB548</f>
        <v>1.6263572263690324E-7</v>
      </c>
      <c r="I554" s="1">
        <f>AC549+2*L540-F549</f>
        <v>103.66666666666666</v>
      </c>
      <c r="J554" s="62" t="s">
        <v>59</v>
      </c>
      <c r="K554">
        <f>AB547*AA548*AA549*AA550+AB548*AA547*AA549*AA550*+AB549*AA547*AA548*AA550+AB550*AA547*AA548*AA549</f>
        <v>3.8026170249148229E-10</v>
      </c>
      <c r="L554" s="1">
        <f>AC550+3*L540-F550</f>
        <v>159.33333333333331</v>
      </c>
      <c r="M554" s="1">
        <f>B554*C554*AH547+E554*F554*AH548+H554*I554*AH549+K554*L554*AH550</f>
        <v>40.625658699998539</v>
      </c>
      <c r="O554" s="1" t="s">
        <v>28</v>
      </c>
      <c r="P554" s="1">
        <f>2*H539</f>
        <v>5440</v>
      </c>
      <c r="Q554" s="1">
        <f t="shared" ref="Q554:Q556" si="58">(K548*(1-P548)*(1-U548)*(1-Z548))+(P548*(1-K548)*(1-U548)*(1-Z548))+(U548*(1-K548)*(1-P548)*(1-Z548))+(Z548*(1-K548)*(1-P548)*(1-U548))</f>
        <v>0.4293717752593712</v>
      </c>
      <c r="R554" s="1">
        <f t="shared" ref="R554:R556" si="59">Q554*(L$7*(J$5*K$5+L$5)+I$5)</f>
        <v>15133.208219016538</v>
      </c>
    </row>
    <row r="555" spans="1:34" ht="24.75" x14ac:dyDescent="0.25">
      <c r="A555" s="1"/>
      <c r="B555" s="1"/>
      <c r="C555" s="1"/>
      <c r="D555" s="62" t="s">
        <v>52</v>
      </c>
      <c r="E555" s="1">
        <f>AB547*AB548</f>
        <v>0.99976483368564417</v>
      </c>
      <c r="F555" s="59">
        <f>MAX(AC548-F548,0)</f>
        <v>27.666666666666657</v>
      </c>
      <c r="G555" s="62" t="s">
        <v>56</v>
      </c>
      <c r="H555" s="1">
        <f>AA547*AB548*AB549+AA548*AB547*AB549*+AA549*AB547*AB548</f>
        <v>2.9576302255611445E-5</v>
      </c>
      <c r="I555" s="1">
        <f>AC549+1*L540-F549</f>
        <v>91.666666666666657</v>
      </c>
      <c r="J555" s="62" t="s">
        <v>60</v>
      </c>
      <c r="K555" s="1">
        <f>AA547*AA548*AB549*AB550 + AA547*AA549*AB548*AB550 + AA547*AA550*AB548*AB549 + AA548*AA549*AB547*AB550 + AA548*AA550*AB547*AB549 + AA549*AA550*AB547*AB548</f>
        <v>2.6363570148268634E-6</v>
      </c>
      <c r="L555" s="1">
        <f>AC550+2*L540-F550</f>
        <v>147.33333333333331</v>
      </c>
      <c r="M555" s="1">
        <f>B555*C555*AH547+E555*F555*AH548+H555*I555*AH549+K555*L555*AH550</f>
        <v>1853.5619904007151</v>
      </c>
      <c r="O555" s="1" t="s">
        <v>29</v>
      </c>
      <c r="P555" s="1">
        <f>2*(F540*(J538*K538+L538)+H540)</f>
        <v>28200</v>
      </c>
      <c r="Q555" s="1">
        <f t="shared" si="58"/>
        <v>0.47316139303387217</v>
      </c>
      <c r="R555" s="1">
        <f t="shared" si="59"/>
        <v>16676.573297478826</v>
      </c>
    </row>
    <row r="556" spans="1:34" ht="24.75" x14ac:dyDescent="0.25">
      <c r="A556" s="1"/>
      <c r="B556" s="1"/>
      <c r="C556" s="1"/>
      <c r="D556" s="1"/>
      <c r="E556" s="1"/>
      <c r="F556" s="1"/>
      <c r="G556" s="62" t="s">
        <v>52</v>
      </c>
      <c r="H556" s="1">
        <f>AB547*AB548*AB549</f>
        <v>0.99909915255067028</v>
      </c>
      <c r="I556" s="63">
        <f>AC549-F549</f>
        <v>79.666666666666657</v>
      </c>
      <c r="J556" s="62" t="s">
        <v>56</v>
      </c>
      <c r="K556" s="1">
        <f>AA547*AB548*AB549*AB550+AA548*AB547*AB549*AB550+AA549*AB547*AB548*AB550+AA550*AB547*AB548*AB549</f>
        <v>3.6427214580740217E-3</v>
      </c>
      <c r="L556" s="1">
        <f>AC550+1*L540-F550</f>
        <v>135.33333333333331</v>
      </c>
      <c r="M556" s="1">
        <f>B556*C556*AH547+E556*F556*AH548+H556*I556*AH549+K556*L556*AH550</f>
        <v>8797.3423460250833</v>
      </c>
      <c r="O556" s="1" t="s">
        <v>30</v>
      </c>
      <c r="P556" s="1">
        <f>2*H541</f>
        <v>8640</v>
      </c>
      <c r="Q556" s="1">
        <f t="shared" si="58"/>
        <v>0.47169570328004923</v>
      </c>
      <c r="R556" s="1">
        <f t="shared" si="59"/>
        <v>16624.915062105334</v>
      </c>
    </row>
    <row r="557" spans="1:34" ht="30" x14ac:dyDescent="0.25">
      <c r="I557" s="84"/>
      <c r="J557" s="62" t="s">
        <v>52</v>
      </c>
      <c r="K557" s="85">
        <f>AB547*AB548*AB549*AB550</f>
        <v>0.99635464173411747</v>
      </c>
      <c r="L557" s="1">
        <f>AC550+0*L540-F550</f>
        <v>123.33333333333331</v>
      </c>
      <c r="M557" s="1">
        <f>B557*C557*AH547+E557*F557*AH548+H557*I557*AH549+K557*L557*AH550</f>
        <v>10445.117827512664</v>
      </c>
      <c r="O557" s="64" t="s">
        <v>65</v>
      </c>
      <c r="P557" s="65">
        <f>SUM(P553:P556)</f>
        <v>45920</v>
      </c>
      <c r="Q557" s="96" t="s">
        <v>108</v>
      </c>
      <c r="R557" s="97">
        <f>SUM(R553:R556)</f>
        <v>59791.894262085254</v>
      </c>
    </row>
    <row r="558" spans="1:34" x14ac:dyDescent="0.25">
      <c r="L558" s="176" t="s">
        <v>63</v>
      </c>
      <c r="M558" s="177">
        <f>SUM(M553:M557)</f>
        <v>21136.663165543658</v>
      </c>
    </row>
    <row r="559" spans="1:34" x14ac:dyDescent="0.25">
      <c r="L559" s="176"/>
      <c r="M559" s="177"/>
    </row>
    <row r="560" spans="1:34" x14ac:dyDescent="0.25">
      <c r="A560" s="178" t="s">
        <v>90</v>
      </c>
      <c r="B560" s="178"/>
      <c r="C560" s="178"/>
      <c r="D560" s="178"/>
      <c r="E560" s="178"/>
      <c r="F560" s="178"/>
      <c r="G560" s="178"/>
      <c r="H560" s="178"/>
      <c r="I560" s="178"/>
      <c r="J560" s="178"/>
      <c r="K560" s="178"/>
      <c r="L560" s="178"/>
      <c r="M560" s="178"/>
      <c r="N560" s="178"/>
    </row>
    <row r="561" spans="1:22" ht="15.75" x14ac:dyDescent="0.25">
      <c r="A561" s="87" t="s">
        <v>75</v>
      </c>
      <c r="B561" s="62" t="s">
        <v>49</v>
      </c>
      <c r="C561" s="90" t="s">
        <v>87</v>
      </c>
      <c r="D561" s="62" t="s">
        <v>88</v>
      </c>
      <c r="E561" s="87" t="s">
        <v>76</v>
      </c>
      <c r="F561" s="62" t="s">
        <v>57</v>
      </c>
      <c r="G561" s="90" t="s">
        <v>102</v>
      </c>
      <c r="H561" s="62" t="s">
        <v>88</v>
      </c>
      <c r="I561" s="87" t="s">
        <v>77</v>
      </c>
      <c r="J561" s="62" t="s">
        <v>61</v>
      </c>
      <c r="K561" s="90" t="s">
        <v>78</v>
      </c>
      <c r="L561" s="62" t="s">
        <v>88</v>
      </c>
      <c r="M561" s="87" t="s">
        <v>86</v>
      </c>
      <c r="N561" s="62" t="s">
        <v>84</v>
      </c>
      <c r="O561" s="90" t="s">
        <v>103</v>
      </c>
      <c r="P561" s="62" t="s">
        <v>88</v>
      </c>
    </row>
    <row r="562" spans="1:22" ht="24.75" x14ac:dyDescent="0.25">
      <c r="A562" s="62" t="s">
        <v>51</v>
      </c>
      <c r="B562" s="86">
        <v>2.9465138194053318E-5</v>
      </c>
      <c r="C562" s="86">
        <f>AC547+1*L540</f>
        <v>89</v>
      </c>
      <c r="D562" s="86">
        <f>MAX(B562*1.5*((C562-F547)*500/2),0)</f>
        <v>0.14364254869600993</v>
      </c>
      <c r="E562" s="62" t="s">
        <v>55</v>
      </c>
      <c r="F562" s="86">
        <v>6.0611921761537649E-9</v>
      </c>
      <c r="G562" s="86">
        <f>AC548+2*L540</f>
        <v>146.66666666666666</v>
      </c>
      <c r="H562" s="86">
        <f>F562*1.5*((G562-F548)*500/2+(G562-F549)*500+(G562-F550)*500)</f>
        <v>3.3260792066643774E-4</v>
      </c>
      <c r="I562" s="62" t="s">
        <v>59</v>
      </c>
      <c r="J562" s="86">
        <v>4.0357703643590372E-12</v>
      </c>
      <c r="K562" s="86">
        <f>AC549+3*L540</f>
        <v>221.66666666666666</v>
      </c>
      <c r="L562" s="86">
        <f>J562*1.5*((K562-G562)*500/2+(K562-G562)*500)</f>
        <v>3.4051812449279377E-7</v>
      </c>
      <c r="M562" s="62" t="s">
        <v>83</v>
      </c>
      <c r="N562" s="86">
        <v>1.1086202395257039E-14</v>
      </c>
      <c r="O562" s="86">
        <f>AC550+4*L540</f>
        <v>311.33333333333331</v>
      </c>
      <c r="P562" s="86">
        <f>N562*1.5*((O562-K562)*500/2)</f>
        <v>3.7277355554051793E-10</v>
      </c>
    </row>
    <row r="563" spans="1:22" ht="24.75" x14ac:dyDescent="0.25">
      <c r="A563" s="62" t="s">
        <v>52</v>
      </c>
      <c r="B563" s="86">
        <v>0.99997053486180598</v>
      </c>
      <c r="C563" s="88">
        <f>AC547</f>
        <v>77</v>
      </c>
      <c r="D563" s="86">
        <f>MAX(B563*1.5*((C563-F547)*500/2),0)</f>
        <v>374.98895057317725</v>
      </c>
      <c r="E563" s="62" t="s">
        <v>56</v>
      </c>
      <c r="F563" s="86">
        <v>2.351602531637427E-4</v>
      </c>
      <c r="G563" s="86">
        <f>AC548+1*L540</f>
        <v>134.66666666666666</v>
      </c>
      <c r="H563" s="86">
        <f>F563*1.5*((G563-F548)*500/2+(G563-F549)*500)</f>
        <v>8.5539542088311382</v>
      </c>
      <c r="I563" s="62" t="s">
        <v>60</v>
      </c>
      <c r="J563" s="86">
        <v>1.6263572263690324E-7</v>
      </c>
      <c r="K563" s="86">
        <f>AC549+2*L540</f>
        <v>209.66666666666666</v>
      </c>
      <c r="L563" s="86">
        <f>J563*1.5*((K563-G563)*500/2+(K563-F550)*500)</f>
        <v>1.3071846206941096E-2</v>
      </c>
      <c r="M563" s="62" t="s">
        <v>59</v>
      </c>
      <c r="N563" s="86">
        <v>3.8026170249148229E-10</v>
      </c>
      <c r="O563" s="86">
        <f>AC550+3*L540</f>
        <v>299.33333333333331</v>
      </c>
      <c r="P563" s="86">
        <f>N563*1.5*((O563-K563)*500/2)</f>
        <v>1.278629974627609E-5</v>
      </c>
    </row>
    <row r="564" spans="1:22" x14ac:dyDescent="0.25">
      <c r="A564" s="86"/>
      <c r="B564" s="86"/>
      <c r="C564" s="89" t="s">
        <v>89</v>
      </c>
      <c r="D564" s="89">
        <f>SUM(D562:D563)</f>
        <v>375.13259312187324</v>
      </c>
      <c r="E564" s="62" t="s">
        <v>52</v>
      </c>
      <c r="F564" s="86">
        <v>0.99976483368564417</v>
      </c>
      <c r="G564" s="86">
        <f>AC548+0*L540</f>
        <v>122.66666666666666</v>
      </c>
      <c r="H564" s="86">
        <f>F564*1.5*((G564-F548)*500/2+(G564-F549)*500)</f>
        <v>22869.620570559102</v>
      </c>
      <c r="I564" s="62" t="s">
        <v>56</v>
      </c>
      <c r="J564" s="86">
        <v>2.9576302255611445E-5</v>
      </c>
      <c r="K564" s="86">
        <f>AC549+1*L540</f>
        <v>197.66666666666666</v>
      </c>
      <c r="L564" s="86">
        <f>J564*1.5*((K564-G564)*500/2+(K564-F550)*500)</f>
        <v>2.1110085734942667</v>
      </c>
      <c r="M564" s="62" t="s">
        <v>60</v>
      </c>
      <c r="N564" s="86">
        <v>2.6363570148268634E-6</v>
      </c>
      <c r="O564" s="86">
        <f>AC550+2*L540</f>
        <v>287.33333333333331</v>
      </c>
      <c r="P564" s="86">
        <f>N564*1.5*((O564-K564)*500/2)</f>
        <v>8.8647504623553267E-2</v>
      </c>
    </row>
    <row r="565" spans="1:22" x14ac:dyDescent="0.25">
      <c r="A565" s="86"/>
      <c r="B565" s="86"/>
      <c r="C565" s="86"/>
      <c r="D565" s="86"/>
      <c r="E565" s="86"/>
      <c r="F565" s="86"/>
      <c r="G565" s="89" t="s">
        <v>79</v>
      </c>
      <c r="H565" s="89">
        <f>SUM(H562:H564)</f>
        <v>22878.174857375852</v>
      </c>
      <c r="I565" s="62" t="s">
        <v>52</v>
      </c>
      <c r="J565" s="86">
        <v>0.99909915255067028</v>
      </c>
      <c r="K565" s="86">
        <f>AC549+0*L540</f>
        <v>185.66666666666666</v>
      </c>
      <c r="L565" s="86">
        <f>J565*1.5*((K565-G564)*500/2+(K565-F550)*500)</f>
        <v>57822.863453870043</v>
      </c>
      <c r="M565" s="62" t="s">
        <v>56</v>
      </c>
      <c r="N565" s="86">
        <v>3.6427214580740217E-3</v>
      </c>
      <c r="O565" s="86">
        <f>AC550+1*L540</f>
        <v>275.33333333333331</v>
      </c>
      <c r="P565" s="86">
        <f>N565*1.5*((O565-K565)*500/2)</f>
        <v>122.48650902773898</v>
      </c>
    </row>
    <row r="566" spans="1:22" x14ac:dyDescent="0.25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9" t="s">
        <v>79</v>
      </c>
      <c r="L566" s="89">
        <f>SUM(L562:L565)</f>
        <v>57824.987534630265</v>
      </c>
      <c r="M566" s="62" t="s">
        <v>52</v>
      </c>
      <c r="N566" s="86">
        <v>0.99635464173411747</v>
      </c>
      <c r="O566" s="86">
        <f>AC550+0*L540</f>
        <v>263.33333333333331</v>
      </c>
      <c r="P566" s="86">
        <f>N566*1.5*((O566-K565)*500/2)</f>
        <v>29018.828940506166</v>
      </c>
      <c r="Q566" s="179" t="s">
        <v>80</v>
      </c>
      <c r="R566" s="179"/>
      <c r="S566" s="180">
        <f>D564+H565+L566+P567</f>
        <v>110219.69909495319</v>
      </c>
      <c r="T566" s="180"/>
    </row>
    <row r="567" spans="1:22" x14ac:dyDescent="0.25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9" t="s">
        <v>79</v>
      </c>
      <c r="P567" s="89">
        <f>SUM(P562:P566)</f>
        <v>29141.404109825202</v>
      </c>
      <c r="Q567" s="179"/>
      <c r="R567" s="179"/>
      <c r="S567" s="180"/>
      <c r="T567" s="180"/>
    </row>
    <row r="568" spans="1:22" x14ac:dyDescent="0.25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</row>
    <row r="569" spans="1:22" x14ac:dyDescent="0.25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</row>
    <row r="570" spans="1:22" x14ac:dyDescent="0.25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</row>
    <row r="571" spans="1:22" ht="24.75" thickBot="1" x14ac:dyDescent="0.3">
      <c r="O571" s="131" t="s">
        <v>81</v>
      </c>
      <c r="P571" s="131"/>
      <c r="Q571" s="131">
        <f>(R557+P557+M558+S566)/AC550</f>
        <v>900.2592019844891</v>
      </c>
      <c r="R571" s="131"/>
    </row>
    <row r="572" spans="1:22" x14ac:dyDescent="0.25">
      <c r="A572" s="181" t="s">
        <v>120</v>
      </c>
      <c r="B572" s="182"/>
    </row>
    <row r="573" spans="1:22" ht="15.75" thickBot="1" x14ac:dyDescent="0.3">
      <c r="A573" s="183"/>
      <c r="B573" s="184"/>
    </row>
    <row r="574" spans="1:22" ht="21" x14ac:dyDescent="0.35">
      <c r="A574" s="185" t="s">
        <v>14</v>
      </c>
      <c r="B574" s="185"/>
      <c r="C574" s="165"/>
      <c r="D574" s="165"/>
      <c r="E574" s="165"/>
      <c r="F574" s="165"/>
      <c r="G574" s="165"/>
      <c r="H574" s="165"/>
      <c r="I574" s="165"/>
      <c r="J574" s="165"/>
      <c r="K574" s="165"/>
      <c r="L574" s="165"/>
      <c r="M574" s="165"/>
      <c r="O574" s="166" t="s">
        <v>72</v>
      </c>
      <c r="P574" s="166"/>
      <c r="Q574" s="166"/>
      <c r="R574" s="166"/>
      <c r="S574" s="166"/>
      <c r="T574" s="166"/>
      <c r="U574" s="166"/>
      <c r="V574" s="166"/>
    </row>
    <row r="575" spans="1:22" ht="36" x14ac:dyDescent="0.25">
      <c r="A575" s="4" t="s">
        <v>15</v>
      </c>
      <c r="B575" s="4" t="s">
        <v>16</v>
      </c>
      <c r="C575" s="4" t="s">
        <v>31</v>
      </c>
      <c r="D575" s="6" t="s">
        <v>17</v>
      </c>
      <c r="E575" s="6" t="s">
        <v>18</v>
      </c>
      <c r="F575" s="6" t="s">
        <v>19</v>
      </c>
      <c r="G575" s="6" t="s">
        <v>20</v>
      </c>
      <c r="H575" s="6" t="s">
        <v>21</v>
      </c>
      <c r="I575" s="6" t="s">
        <v>22</v>
      </c>
      <c r="J575" s="6" t="s">
        <v>23</v>
      </c>
      <c r="K575" s="6" t="s">
        <v>24</v>
      </c>
      <c r="L575" s="6" t="s">
        <v>25</v>
      </c>
      <c r="M575" s="6" t="s">
        <v>26</v>
      </c>
      <c r="N575" s="8"/>
      <c r="O575" s="167" t="s">
        <v>32</v>
      </c>
      <c r="P575" s="167" t="s">
        <v>35</v>
      </c>
      <c r="Q575" s="167" t="s">
        <v>66</v>
      </c>
      <c r="R575" s="99" t="s">
        <v>67</v>
      </c>
      <c r="S575" s="99" t="s">
        <v>68</v>
      </c>
      <c r="T575" s="167" t="s">
        <v>69</v>
      </c>
      <c r="U575" s="71" t="s">
        <v>33</v>
      </c>
      <c r="V575" s="99" t="s">
        <v>70</v>
      </c>
    </row>
    <row r="576" spans="1:22" x14ac:dyDescent="0.25">
      <c r="A576" s="3" t="s">
        <v>27</v>
      </c>
      <c r="B576" s="3">
        <v>0</v>
      </c>
      <c r="C576" s="3">
        <v>0.3</v>
      </c>
      <c r="D576" s="3">
        <v>243</v>
      </c>
      <c r="E576" s="3">
        <v>1.73</v>
      </c>
      <c r="F576" s="3">
        <v>5</v>
      </c>
      <c r="G576" s="169">
        <v>12</v>
      </c>
      <c r="H576" s="3">
        <v>1820</v>
      </c>
      <c r="I576" s="169">
        <v>19645</v>
      </c>
      <c r="J576" s="3">
        <v>20</v>
      </c>
      <c r="K576" s="3">
        <v>40</v>
      </c>
      <c r="L576" s="3">
        <v>500</v>
      </c>
      <c r="M576" s="3">
        <v>1000</v>
      </c>
      <c r="O576" s="168"/>
      <c r="P576" s="168"/>
      <c r="Q576" s="168"/>
      <c r="R576" s="72" t="s">
        <v>71</v>
      </c>
      <c r="S576" s="72" t="s">
        <v>71</v>
      </c>
      <c r="T576" s="168"/>
      <c r="U576" s="73">
        <v>500</v>
      </c>
      <c r="V576" s="3">
        <v>1.5</v>
      </c>
    </row>
    <row r="577" spans="1:34" x14ac:dyDescent="0.25">
      <c r="A577" s="3" t="s">
        <v>28</v>
      </c>
      <c r="B577" s="3">
        <v>0</v>
      </c>
      <c r="C577" s="3">
        <v>0.3</v>
      </c>
      <c r="D577" s="3">
        <v>254</v>
      </c>
      <c r="E577" s="3">
        <v>1.88</v>
      </c>
      <c r="F577" s="3">
        <v>3</v>
      </c>
      <c r="G577" s="170"/>
      <c r="H577" s="3">
        <v>2720</v>
      </c>
      <c r="I577" s="170"/>
      <c r="J577" s="5"/>
      <c r="K577" s="5"/>
      <c r="L577" s="5"/>
      <c r="M577" s="5"/>
      <c r="O577" s="74">
        <v>1</v>
      </c>
      <c r="P577" s="74">
        <v>106</v>
      </c>
      <c r="Q577" s="74">
        <v>110</v>
      </c>
      <c r="R577" s="74">
        <v>6</v>
      </c>
      <c r="S577" s="74">
        <v>5</v>
      </c>
      <c r="T577" s="74">
        <f>R577*$U$5/60+S577</f>
        <v>55</v>
      </c>
      <c r="U577" s="75"/>
    </row>
    <row r="578" spans="1:34" x14ac:dyDescent="0.25">
      <c r="A578" s="3" t="s">
        <v>29</v>
      </c>
      <c r="B578" s="3">
        <v>0</v>
      </c>
      <c r="C578" s="3">
        <v>0.3</v>
      </c>
      <c r="D578" s="3">
        <v>143</v>
      </c>
      <c r="E578" s="3">
        <v>2.4300000000000002</v>
      </c>
      <c r="F578" s="3">
        <v>8</v>
      </c>
      <c r="G578" s="170"/>
      <c r="H578" s="3">
        <v>3700</v>
      </c>
      <c r="I578" s="170"/>
      <c r="J578" s="5"/>
      <c r="K578" s="140" t="s">
        <v>73</v>
      </c>
      <c r="L578" s="141">
        <v>12</v>
      </c>
      <c r="M578" s="140" t="s">
        <v>74</v>
      </c>
      <c r="N578" s="141">
        <v>19645</v>
      </c>
      <c r="O578" s="74">
        <v>2</v>
      </c>
      <c r="P578" s="74">
        <v>76</v>
      </c>
      <c r="Q578" s="74">
        <v>40</v>
      </c>
      <c r="R578" s="74">
        <v>9</v>
      </c>
      <c r="S578" s="74">
        <v>2</v>
      </c>
      <c r="T578" s="74">
        <f t="shared" ref="T578:T580" si="60">R578*$U$5/60+S578</f>
        <v>77</v>
      </c>
      <c r="U578" s="75"/>
    </row>
    <row r="579" spans="1:34" x14ac:dyDescent="0.25">
      <c r="A579" s="3" t="s">
        <v>30</v>
      </c>
      <c r="B579" s="3">
        <v>0</v>
      </c>
      <c r="C579" s="3">
        <v>0.3</v>
      </c>
      <c r="D579" s="3">
        <v>449</v>
      </c>
      <c r="E579" s="3">
        <v>2.5299999999999998</v>
      </c>
      <c r="F579" s="3">
        <v>4</v>
      </c>
      <c r="G579" s="171"/>
      <c r="H579" s="3">
        <v>4320</v>
      </c>
      <c r="I579" s="171"/>
      <c r="J579" s="5"/>
      <c r="K579" s="140"/>
      <c r="L579" s="141"/>
      <c r="M579" s="140"/>
      <c r="N579" s="141"/>
      <c r="O579" s="74">
        <v>3</v>
      </c>
      <c r="P579" s="74">
        <v>95</v>
      </c>
      <c r="Q579" s="74">
        <v>67</v>
      </c>
      <c r="R579" s="74">
        <v>5</v>
      </c>
      <c r="S579" s="74">
        <v>4</v>
      </c>
      <c r="T579" s="74">
        <f t="shared" si="60"/>
        <v>45.666666666666664</v>
      </c>
      <c r="U579" s="75"/>
    </row>
    <row r="580" spans="1:34" ht="15.75" thickBo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O580" s="74">
        <v>4</v>
      </c>
      <c r="P580" s="74">
        <v>140</v>
      </c>
      <c r="Q580" s="94">
        <v>85</v>
      </c>
      <c r="R580" s="94">
        <v>8</v>
      </c>
      <c r="S580" s="94">
        <v>3</v>
      </c>
      <c r="T580" s="74">
        <f t="shared" si="60"/>
        <v>69.666666666666671</v>
      </c>
    </row>
    <row r="581" spans="1:34" ht="15" customHeight="1" x14ac:dyDescent="0.25">
      <c r="A581" s="142" t="s">
        <v>100</v>
      </c>
      <c r="B581" s="144" t="s">
        <v>129</v>
      </c>
      <c r="C581" s="144"/>
      <c r="D581" s="144"/>
      <c r="E581" s="144"/>
      <c r="F581" s="20" t="s">
        <v>27</v>
      </c>
      <c r="G581" s="20" t="s">
        <v>28</v>
      </c>
      <c r="H581" s="20" t="s">
        <v>29</v>
      </c>
      <c r="I581" s="20" t="s">
        <v>30</v>
      </c>
    </row>
    <row r="582" spans="1:34" ht="15.75" customHeight="1" thickBot="1" x14ac:dyDescent="0.3">
      <c r="A582" s="143"/>
      <c r="B582" s="145"/>
      <c r="C582" s="145"/>
      <c r="D582" s="145"/>
      <c r="E582" s="145"/>
      <c r="F582" s="20">
        <v>91</v>
      </c>
      <c r="G582" s="26">
        <v>91</v>
      </c>
      <c r="H582" s="26">
        <v>91</v>
      </c>
      <c r="I582" s="26">
        <v>91</v>
      </c>
    </row>
    <row r="583" spans="1:34" ht="15.75" customHeight="1" thickBot="1" x14ac:dyDescent="0.3">
      <c r="A583" s="143"/>
      <c r="B583" s="145"/>
      <c r="C583" s="145"/>
      <c r="D583" s="145"/>
      <c r="E583" s="145"/>
      <c r="F583" s="7"/>
      <c r="G583" s="146" t="s">
        <v>27</v>
      </c>
      <c r="H583" s="147"/>
      <c r="I583" s="147"/>
      <c r="J583" s="147"/>
      <c r="K583" s="148"/>
      <c r="L583" s="149" t="s">
        <v>28</v>
      </c>
      <c r="M583" s="150"/>
      <c r="N583" s="150"/>
      <c r="O583" s="150"/>
      <c r="P583" s="151"/>
      <c r="Q583" s="152" t="s">
        <v>29</v>
      </c>
      <c r="R583" s="153"/>
      <c r="S583" s="153"/>
      <c r="T583" s="153"/>
      <c r="U583" s="154"/>
      <c r="V583" s="155" t="s">
        <v>30</v>
      </c>
      <c r="W583" s="156"/>
      <c r="X583" s="156"/>
      <c r="Y583" s="156"/>
      <c r="Z583" s="157"/>
      <c r="AA583" s="158" t="s">
        <v>42</v>
      </c>
      <c r="AB583" s="159"/>
      <c r="AC583" s="160" t="s">
        <v>44</v>
      </c>
      <c r="AD583" s="162" t="s">
        <v>47</v>
      </c>
      <c r="AE583" s="163"/>
      <c r="AF583" s="163"/>
      <c r="AG583" s="164"/>
      <c r="AH583" s="138" t="s">
        <v>62</v>
      </c>
    </row>
    <row r="584" spans="1:34" ht="36.75" x14ac:dyDescent="0.25">
      <c r="A584" s="21" t="s">
        <v>32</v>
      </c>
      <c r="B584" s="22" t="s">
        <v>37</v>
      </c>
      <c r="C584" s="23" t="s">
        <v>33</v>
      </c>
      <c r="D584" s="22" t="s">
        <v>38</v>
      </c>
      <c r="E584" s="22" t="s">
        <v>34</v>
      </c>
      <c r="F584" s="25" t="s">
        <v>35</v>
      </c>
      <c r="G584" s="27" t="s">
        <v>39</v>
      </c>
      <c r="H584" s="10" t="s">
        <v>40</v>
      </c>
      <c r="I584" s="10" t="s">
        <v>45</v>
      </c>
      <c r="J584" s="10" t="s">
        <v>46</v>
      </c>
      <c r="K584" s="28" t="s">
        <v>41</v>
      </c>
      <c r="L584" s="30" t="s">
        <v>39</v>
      </c>
      <c r="M584" s="13" t="s">
        <v>40</v>
      </c>
      <c r="N584" s="13" t="s">
        <v>45</v>
      </c>
      <c r="O584" s="13" t="s">
        <v>46</v>
      </c>
      <c r="P584" s="31" t="s">
        <v>41</v>
      </c>
      <c r="Q584" s="33" t="s">
        <v>39</v>
      </c>
      <c r="R584" s="12" t="s">
        <v>40</v>
      </c>
      <c r="S584" s="12" t="s">
        <v>45</v>
      </c>
      <c r="T584" s="12" t="s">
        <v>46</v>
      </c>
      <c r="U584" s="34" t="s">
        <v>41</v>
      </c>
      <c r="V584" s="36" t="s">
        <v>39</v>
      </c>
      <c r="W584" s="11" t="s">
        <v>40</v>
      </c>
      <c r="X584" s="11" t="s">
        <v>45</v>
      </c>
      <c r="Y584" s="11" t="s">
        <v>46</v>
      </c>
      <c r="Z584" s="37" t="s">
        <v>41</v>
      </c>
      <c r="AA584" s="39" t="s">
        <v>41</v>
      </c>
      <c r="AB584" s="40" t="s">
        <v>43</v>
      </c>
      <c r="AC584" s="161"/>
      <c r="AD584" s="43" t="s">
        <v>27</v>
      </c>
      <c r="AE584" s="1" t="s">
        <v>28</v>
      </c>
      <c r="AF584" s="1" t="s">
        <v>29</v>
      </c>
      <c r="AG584" s="1" t="s">
        <v>30</v>
      </c>
      <c r="AH584" s="139"/>
    </row>
    <row r="585" spans="1:34" x14ac:dyDescent="0.25">
      <c r="A585" s="24">
        <v>2</v>
      </c>
      <c r="B585" s="9">
        <v>9</v>
      </c>
      <c r="C585" s="9">
        <v>500</v>
      </c>
      <c r="D585" s="9">
        <v>2</v>
      </c>
      <c r="E585" s="48">
        <f>B585*C585/60+D585</f>
        <v>77</v>
      </c>
      <c r="F585" s="100">
        <v>76</v>
      </c>
      <c r="G585" s="49">
        <f>B$5*(1-AD585*C$5)</f>
        <v>0</v>
      </c>
      <c r="H585" s="50">
        <f>G585+E585</f>
        <v>77</v>
      </c>
      <c r="I585" s="15">
        <f>(H585/D$5)^E$5</f>
        <v>0.13693992990275231</v>
      </c>
      <c r="J585" s="15">
        <f>(G585/D$5)^E$5</f>
        <v>0</v>
      </c>
      <c r="K585" s="29">
        <f>1-EXP(J585-I585)</f>
        <v>0.1279773929583623</v>
      </c>
      <c r="L585" s="51">
        <f>B$6*(1-AE585*C$6)</f>
        <v>0</v>
      </c>
      <c r="M585" s="52">
        <f>L585+E585</f>
        <v>77</v>
      </c>
      <c r="N585" s="17">
        <f>(M585/D$6)^E$6</f>
        <v>0.10605109964467559</v>
      </c>
      <c r="O585" s="17">
        <f>(L585/D$6)^E$6</f>
        <v>0</v>
      </c>
      <c r="P585" s="32">
        <f>1-EXP(O585-N585)</f>
        <v>0.10062131102974814</v>
      </c>
      <c r="Q585" s="53">
        <f>B$7*(1-AF585*C$7)</f>
        <v>0</v>
      </c>
      <c r="R585" s="54">
        <f>Q585+E585</f>
        <v>77</v>
      </c>
      <c r="S585" s="16">
        <f>(R585/D$7)^E$7</f>
        <v>0.2221804751105394</v>
      </c>
      <c r="T585" s="16">
        <f>(Q585/D$7)^E$7</f>
        <v>0</v>
      </c>
      <c r="U585" s="35">
        <f>1-EXP(T585-S585)</f>
        <v>0.19922916791162293</v>
      </c>
      <c r="V585" s="55">
        <f>B$8*(1-AG585*C$8)</f>
        <v>0</v>
      </c>
      <c r="W585" s="56">
        <f>V585+E585</f>
        <v>77</v>
      </c>
      <c r="X585" s="18">
        <f>(W585/D$8)^E$8</f>
        <v>1.1551497592884551E-2</v>
      </c>
      <c r="Y585" s="18">
        <f>(V585/D$8)^E$8</f>
        <v>0</v>
      </c>
      <c r="Z585" s="38">
        <f>1-EXP(Y585-X585)</f>
        <v>1.1485035204098715E-2</v>
      </c>
      <c r="AA585" s="41">
        <f>K585*P585*U585*Z585</f>
        <v>2.9465138194053318E-5</v>
      </c>
      <c r="AB585" s="42">
        <f>1-AA585</f>
        <v>0.99997053486180598</v>
      </c>
      <c r="AC585" s="47">
        <f>(AD585*F$5+AE585*F$6+AF585*F$7+AG585*F$8)+E585</f>
        <v>77</v>
      </c>
      <c r="AD585" s="43">
        <v>0</v>
      </c>
      <c r="AE585" s="1">
        <v>0</v>
      </c>
      <c r="AF585" s="1">
        <v>0</v>
      </c>
      <c r="AG585" s="1">
        <v>0</v>
      </c>
      <c r="AH585" s="74">
        <v>40</v>
      </c>
    </row>
    <row r="586" spans="1:34" x14ac:dyDescent="0.25">
      <c r="A586" s="76">
        <v>3</v>
      </c>
      <c r="B586" s="58">
        <v>5</v>
      </c>
      <c r="C586" s="9">
        <v>500</v>
      </c>
      <c r="D586" s="58">
        <v>4</v>
      </c>
      <c r="E586" s="48">
        <f t="shared" ref="E586:E588" si="61">B586*C586/60+D586</f>
        <v>45.666666666666664</v>
      </c>
      <c r="F586" s="100">
        <v>95</v>
      </c>
      <c r="G586" s="49">
        <f>H585*(1-AD586*C$5)</f>
        <v>77</v>
      </c>
      <c r="H586" s="50">
        <f>G586+E586</f>
        <v>122.66666666666666</v>
      </c>
      <c r="I586" s="15">
        <f>(H586/D$5)^E$5</f>
        <v>0.30647715135734394</v>
      </c>
      <c r="J586" s="15">
        <f>(G586/D$5)^E$5</f>
        <v>0.13693992990275231</v>
      </c>
      <c r="K586" s="29">
        <f>1-EXP(J586-I586)</f>
        <v>0.15594466307173371</v>
      </c>
      <c r="L586" s="51">
        <f>M585*(1-AE586*C$6)</f>
        <v>77</v>
      </c>
      <c r="M586" s="52">
        <f>L586+E586</f>
        <v>122.66666666666666</v>
      </c>
      <c r="N586" s="17">
        <f>(M586/D$6)^E$6</f>
        <v>0.25451802994245737</v>
      </c>
      <c r="O586" s="17">
        <f>(L586/D$6)^E$6</f>
        <v>0.10605109964467559</v>
      </c>
      <c r="P586" s="32">
        <f>1-EXP(O586-N586)</f>
        <v>0.13797148627460298</v>
      </c>
      <c r="Q586" s="53">
        <f>R585*(1-AF586*C$7)</f>
        <v>77</v>
      </c>
      <c r="R586" s="54">
        <f>Q586+E586</f>
        <v>122.66666666666666</v>
      </c>
      <c r="S586" s="16">
        <f>(R586/D$7)^E$7</f>
        <v>0.68887270848465465</v>
      </c>
      <c r="T586" s="16">
        <f>(Q586/D$7)^E$7</f>
        <v>0.2221804751105394</v>
      </c>
      <c r="U586" s="35">
        <f>1-EXP(T586-S586)</f>
        <v>0.3729269471251826</v>
      </c>
      <c r="V586" s="55">
        <f>W585*(1-AG586*C$8)</f>
        <v>77</v>
      </c>
      <c r="W586" s="56">
        <f>V586+E586</f>
        <v>122.66666666666666</v>
      </c>
      <c r="X586" s="18">
        <f>(W586/D$8)^E$8</f>
        <v>3.7522776286050503E-2</v>
      </c>
      <c r="Y586" s="18">
        <f>(V586/D$8)^E$8</f>
        <v>1.1551497592884551E-2</v>
      </c>
      <c r="Z586" s="38">
        <f>1-EXP(Y586-X586)</f>
        <v>2.563692581230792E-2</v>
      </c>
      <c r="AA586" s="41">
        <f>K586*P586*U586*Z586</f>
        <v>2.0570723735404168E-4</v>
      </c>
      <c r="AB586" s="42">
        <f>1-AA586</f>
        <v>0.99979429276264598</v>
      </c>
      <c r="AC586" s="47">
        <f>AF586*F$7+E586+AC585</f>
        <v>122.66666666666666</v>
      </c>
      <c r="AD586" s="43">
        <v>0</v>
      </c>
      <c r="AE586" s="1">
        <v>0</v>
      </c>
      <c r="AF586" s="1">
        <v>0</v>
      </c>
      <c r="AG586" s="1">
        <v>0</v>
      </c>
      <c r="AH586" s="74">
        <v>67</v>
      </c>
    </row>
    <row r="587" spans="1:34" x14ac:dyDescent="0.25">
      <c r="A587" s="24">
        <v>4</v>
      </c>
      <c r="B587" s="9">
        <v>8</v>
      </c>
      <c r="C587" s="58">
        <v>500</v>
      </c>
      <c r="D587" s="58">
        <v>3</v>
      </c>
      <c r="E587" s="48">
        <f t="shared" si="61"/>
        <v>69.666666666666671</v>
      </c>
      <c r="F587" s="100">
        <v>140</v>
      </c>
      <c r="G587" s="68">
        <f>H586*(1-AD587*C$5)</f>
        <v>85.86666666666666</v>
      </c>
      <c r="H587" s="69">
        <f>G587+E587</f>
        <v>155.53333333333333</v>
      </c>
      <c r="I587" s="70">
        <f>(H587/D$5)^E$5</f>
        <v>0.46212106614830967</v>
      </c>
      <c r="J587" s="70">
        <f>(G587/D$5)^E$5</f>
        <v>0.16535514464725598</v>
      </c>
      <c r="K587" s="29">
        <f>1-EXP(J587-I587)</f>
        <v>0.25678203665269694</v>
      </c>
      <c r="L587" s="51">
        <f>M586*(1-AE587*C$6)</f>
        <v>85.86666666666666</v>
      </c>
      <c r="M587" s="52">
        <f>L587+E587</f>
        <v>155.53333333333333</v>
      </c>
      <c r="N587" s="17">
        <f>(M587/D$6)^E$6</f>
        <v>0.39768641404513894</v>
      </c>
      <c r="O587" s="17">
        <f>(L587/D$6)^E$6</f>
        <v>0.13016759122196553</v>
      </c>
      <c r="P587" s="32">
        <f>1-EXP(O587-N587)</f>
        <v>0.23472407416617413</v>
      </c>
      <c r="Q587" s="53">
        <f>R586*(1-AF587*C$7)</f>
        <v>85.86666666666666</v>
      </c>
      <c r="R587" s="54">
        <f>Q587+E587</f>
        <v>155.53333333333333</v>
      </c>
      <c r="S587" s="16">
        <f>(R587/D$7)^E$7</f>
        <v>1.2264913361397396</v>
      </c>
      <c r="T587" s="16">
        <f>(Q587/D$7)^E$7</f>
        <v>0.28955243173642403</v>
      </c>
      <c r="U587" s="35">
        <f>1-EXP(T587-S587)</f>
        <v>0.60817458347464404</v>
      </c>
      <c r="V587" s="55">
        <f>W586*(1-AG587*C$8)</f>
        <v>85.86666666666666</v>
      </c>
      <c r="W587" s="56">
        <f>V587+E587</f>
        <v>155.53333333333333</v>
      </c>
      <c r="X587" s="18">
        <f>(W587/D$8)^E$8</f>
        <v>6.8411665095511928E-2</v>
      </c>
      <c r="Y587" s="18">
        <f>(V587/D$8)^E$8</f>
        <v>1.5219241387637328E-2</v>
      </c>
      <c r="Z587" s="38">
        <f>1-EXP(Y587-X587)</f>
        <v>5.1802460759525881E-2</v>
      </c>
      <c r="AA587" s="41">
        <f>K587*P587*U587*Z587</f>
        <v>1.8988949111734255E-3</v>
      </c>
      <c r="AB587" s="42">
        <f>1-AA587</f>
        <v>0.99810110508882655</v>
      </c>
      <c r="AC587" s="47">
        <f>(AF587*F$7)+E587+AC586</f>
        <v>200.33333333333331</v>
      </c>
      <c r="AD587" s="77">
        <v>1</v>
      </c>
      <c r="AE587" s="78">
        <v>1</v>
      </c>
      <c r="AF587" s="78">
        <v>1</v>
      </c>
      <c r="AG587" s="78">
        <v>1</v>
      </c>
      <c r="AH587" s="74">
        <v>85</v>
      </c>
    </row>
    <row r="588" spans="1:34" ht="15.75" thickBot="1" x14ac:dyDescent="0.3">
      <c r="A588" s="57">
        <v>1</v>
      </c>
      <c r="B588" s="58">
        <v>6</v>
      </c>
      <c r="C588" s="58">
        <v>500</v>
      </c>
      <c r="D588" s="9">
        <v>5</v>
      </c>
      <c r="E588" s="48">
        <f t="shared" si="61"/>
        <v>55</v>
      </c>
      <c r="F588" s="100">
        <v>106</v>
      </c>
      <c r="G588" s="68">
        <f>H587*(1-AD588*C$5)</f>
        <v>108.87333333333332</v>
      </c>
      <c r="H588" s="69">
        <f>G588+E588</f>
        <v>163.87333333333333</v>
      </c>
      <c r="I588" s="70">
        <f>(H588/D$5)^E$5</f>
        <v>0.50582522627678017</v>
      </c>
      <c r="J588" s="70">
        <f>(G588/D$5)^E$5</f>
        <v>0.2493304815679428</v>
      </c>
      <c r="K588" s="29">
        <f>1-EXP(J588-I588)</f>
        <v>0.22624093912205778</v>
      </c>
      <c r="L588" s="51">
        <f>M587*(1-AE588*C$6)</f>
        <v>108.87333333333332</v>
      </c>
      <c r="M588" s="52">
        <f>L588+E588</f>
        <v>163.87333333333333</v>
      </c>
      <c r="N588" s="17">
        <f>(M588/D$6)^E$6</f>
        <v>0.43872076836143109</v>
      </c>
      <c r="O588" s="17">
        <f>(L588/D$6)^E$6</f>
        <v>0.20338788018145684</v>
      </c>
      <c r="P588" s="32">
        <f>1-EXP(O588-N588)</f>
        <v>0.20969227826402548</v>
      </c>
      <c r="Q588" s="53">
        <f>R587*(1-AF588*C$7)</f>
        <v>108.87333333333332</v>
      </c>
      <c r="R588" s="54">
        <f>Q588+E588</f>
        <v>163.87333333333333</v>
      </c>
      <c r="S588" s="16">
        <f>(R588/D$7)^E$7</f>
        <v>1.3924787239161251</v>
      </c>
      <c r="T588" s="16">
        <f>(Q588/D$7)^E$7</f>
        <v>0.5155285504982785</v>
      </c>
      <c r="U588" s="35">
        <f>1-EXP(T588-S588)</f>
        <v>0.58395014136633883</v>
      </c>
      <c r="V588" s="55">
        <f>W587*(1-AG588*C$8)</f>
        <v>108.87333333333332</v>
      </c>
      <c r="W588" s="56">
        <f>V588+E588</f>
        <v>163.87333333333333</v>
      </c>
      <c r="X588" s="18">
        <f>(W588/D$8)^E$8</f>
        <v>7.8076929426689909E-2</v>
      </c>
      <c r="Y588" s="18">
        <f>(V588/D$8)^E$8</f>
        <v>2.7747777426742989E-2</v>
      </c>
      <c r="Z588" s="38">
        <f>1-EXP(Y588-X588)</f>
        <v>4.9083623043829738E-2</v>
      </c>
      <c r="AA588" s="41">
        <f>K588*P588*U588*Z588</f>
        <v>1.3597717466068814E-3</v>
      </c>
      <c r="AB588" s="42">
        <f>1-AA588</f>
        <v>0.99864022825339316</v>
      </c>
      <c r="AC588" s="47">
        <f>(AF588*F$7)+E588+AC587</f>
        <v>263.33333333333331</v>
      </c>
      <c r="AD588" s="80">
        <v>1</v>
      </c>
      <c r="AE588" s="45">
        <v>1</v>
      </c>
      <c r="AF588" s="81">
        <v>1</v>
      </c>
      <c r="AG588" s="45">
        <v>1</v>
      </c>
      <c r="AH588" s="94">
        <v>110</v>
      </c>
    </row>
    <row r="589" spans="1:34" ht="18.75" x14ac:dyDescent="0.3">
      <c r="A589" s="132" t="s">
        <v>53</v>
      </c>
      <c r="B589" s="132"/>
      <c r="C589" s="132"/>
      <c r="D589" s="132"/>
      <c r="E589" s="132"/>
      <c r="F589" s="132"/>
      <c r="G589" s="132"/>
      <c r="H589" s="132"/>
      <c r="I589" s="132"/>
      <c r="J589" s="132"/>
      <c r="AG589" s="46"/>
    </row>
    <row r="590" spans="1:34" ht="15.75" x14ac:dyDescent="0.25">
      <c r="A590" s="19" t="s">
        <v>48</v>
      </c>
      <c r="B590" s="60" t="s">
        <v>49</v>
      </c>
      <c r="C590" s="61" t="s">
        <v>50</v>
      </c>
      <c r="D590" s="19" t="s">
        <v>54</v>
      </c>
      <c r="E590" s="60" t="s">
        <v>57</v>
      </c>
      <c r="F590" s="61" t="s">
        <v>50</v>
      </c>
      <c r="G590" s="19" t="s">
        <v>58</v>
      </c>
      <c r="H590" s="60" t="s">
        <v>61</v>
      </c>
      <c r="I590" s="61" t="s">
        <v>50</v>
      </c>
      <c r="J590" s="19" t="s">
        <v>82</v>
      </c>
      <c r="K590" s="83" t="s">
        <v>84</v>
      </c>
      <c r="L590" s="61" t="s">
        <v>50</v>
      </c>
      <c r="M590" s="61" t="s">
        <v>85</v>
      </c>
      <c r="O590" s="174" t="s">
        <v>64</v>
      </c>
      <c r="P590" s="174"/>
      <c r="Q590" s="175" t="s">
        <v>109</v>
      </c>
      <c r="R590" s="175"/>
    </row>
    <row r="591" spans="1:34" ht="24.75" x14ac:dyDescent="0.25">
      <c r="A591" s="61" t="s">
        <v>51</v>
      </c>
      <c r="B591" s="1">
        <f>AA585</f>
        <v>2.9465138194053318E-5</v>
      </c>
      <c r="C591" s="59">
        <f>MAX(AC585+1*L578-F585,0)</f>
        <v>13</v>
      </c>
      <c r="D591" s="62" t="s">
        <v>55</v>
      </c>
      <c r="E591" s="1">
        <f>AA585*AA586</f>
        <v>6.0611921761537649E-9</v>
      </c>
      <c r="F591" s="1">
        <f>MAX(AC586+2*L578-F586,0)</f>
        <v>51.666666666666657</v>
      </c>
      <c r="G591" s="62" t="s">
        <v>59</v>
      </c>
      <c r="H591" s="1">
        <f>AA585*AA586*AA587</f>
        <v>1.1509566978942565E-11</v>
      </c>
      <c r="I591" s="1">
        <f>AC587+3*L578-F587</f>
        <v>96.333333333333314</v>
      </c>
      <c r="J591" s="62" t="s">
        <v>83</v>
      </c>
      <c r="K591" s="1">
        <f>AA585*AA586*AA587*AA588</f>
        <v>1.565038399364562E-14</v>
      </c>
      <c r="L591" s="1">
        <f>AC588+4*L578-F588</f>
        <v>205.33333333333331</v>
      </c>
      <c r="M591" s="1">
        <f>B591*C591*AH585+E591*F591*AH586+H591*I591*AH587+K591*L591*AH588</f>
        <v>1.5342948285485129E-2</v>
      </c>
      <c r="O591" s="1" t="s">
        <v>27</v>
      </c>
      <c r="P591" s="1">
        <f>2*H576</f>
        <v>3640</v>
      </c>
      <c r="Q591" s="1">
        <f>(K585*(1-P585)*(1-U585)*(1-Z585))+(P585*(1-K585)*(1-U585)*(1-Z585))+(U585*(1-K585)*(1-P585)*(1-Z585))+(Z585*(1-K585)*(1-P585)*(1-U585))</f>
        <v>0.32223571239848364</v>
      </c>
      <c r="R591" s="1">
        <f>Q591*(L$7*(J$5*K$5+L$5)+I$5)</f>
        <v>11357.197683484555</v>
      </c>
    </row>
    <row r="592" spans="1:34" ht="24.75" x14ac:dyDescent="0.25">
      <c r="A592" s="62" t="s">
        <v>52</v>
      </c>
      <c r="B592" s="1">
        <f>AB585</f>
        <v>0.99997053486180598</v>
      </c>
      <c r="C592" s="59">
        <f>MAX(AC585-F585,0)</f>
        <v>1</v>
      </c>
      <c r="D592" s="62" t="s">
        <v>56</v>
      </c>
      <c r="E592" s="1">
        <f>AA585*AB586+AA586*AB585</f>
        <v>2.351602531637427E-4</v>
      </c>
      <c r="F592" s="1">
        <f>MAX(AC586+1*L578-F586,0)</f>
        <v>39.666666666666657</v>
      </c>
      <c r="G592" s="62" t="s">
        <v>60</v>
      </c>
      <c r="H592" s="1">
        <f>AA585*AA586*AB587+AA586*AA587*AB585+AA585*AA587*AB586</f>
        <v>4.5259429065206026E-7</v>
      </c>
      <c r="I592" s="1">
        <f>AC587+2*L578-F587</f>
        <v>84.333333333333314</v>
      </c>
      <c r="J592" s="62" t="s">
        <v>59</v>
      </c>
      <c r="K592">
        <f>AB585*AA586*AA587*AA588+AB586*AA585*AA587*AA588*+AB587*AA585*AA586*AA588+AB588*AA585*AA586*AA587</f>
        <v>5.4262744632315419E-10</v>
      </c>
      <c r="L592" s="1">
        <f>AC588+3*L578-F588</f>
        <v>193.33333333333331</v>
      </c>
      <c r="M592" s="1">
        <f>B592*C592*AH585+E592*F592*AH586+H592*I592*AH587+K592*L592*AH588</f>
        <v>40.627054847247592</v>
      </c>
      <c r="O592" s="1" t="s">
        <v>28</v>
      </c>
      <c r="P592" s="1">
        <f>2*H577</f>
        <v>5440</v>
      </c>
      <c r="Q592" s="1">
        <f t="shared" ref="Q592:Q594" si="62">(K586*(1-P586)*(1-U586)*(1-Z586))+(P586*(1-K586)*(1-U586)*(1-Z586))+(U586*(1-K586)*(1-P586)*(1-Z586))+(Z586*(1-K586)*(1-P586)*(1-U586))</f>
        <v>0.4293717752593712</v>
      </c>
      <c r="R592" s="1">
        <f t="shared" ref="R592:R594" si="63">Q592*(L$7*(J$5*K$5+L$5)+I$5)</f>
        <v>15133.208219016538</v>
      </c>
    </row>
    <row r="593" spans="1:20" ht="24.75" x14ac:dyDescent="0.25">
      <c r="A593" s="1"/>
      <c r="B593" s="1"/>
      <c r="C593" s="1"/>
      <c r="D593" s="62" t="s">
        <v>52</v>
      </c>
      <c r="E593" s="1">
        <f>AB585*AB586</f>
        <v>0.99976483368564417</v>
      </c>
      <c r="F593" s="59">
        <f>MAX(AC586-F586,0)</f>
        <v>27.666666666666657</v>
      </c>
      <c r="G593" s="62" t="s">
        <v>56</v>
      </c>
      <c r="H593" s="1">
        <f>AA585*AB586*AB587+AA586*AB585*AB587*+AA587*AB585*AB586</f>
        <v>2.9792908826726511E-5</v>
      </c>
      <c r="I593" s="1">
        <f>AC587+1*L578-F587</f>
        <v>72.333333333333314</v>
      </c>
      <c r="J593" s="62" t="s">
        <v>60</v>
      </c>
      <c r="K593" s="1">
        <f>AA585*AA586*AB587*AB588 + AA585*AA587*AB586*AB588 + AA585*AA588*AB586*AB587 + AA586*AA587*AB585*AB588 + AA586*AA588*AB585*AB587 + AA587*AA588*AB585*AB586</f>
        <v>3.3525923707555262E-6</v>
      </c>
      <c r="L593" s="1">
        <f>AC588+2*L578-F588</f>
        <v>181.33333333333331</v>
      </c>
      <c r="M593" s="1">
        <f>B593*C593*AH585+E593*F593*AH586+H593*I593*AH587+K593*L593*AH588</f>
        <v>1853.4807964855468</v>
      </c>
      <c r="O593" s="1" t="s">
        <v>29</v>
      </c>
      <c r="P593" s="1">
        <f>2*(F578*(J576*K576+L576)+H578)</f>
        <v>28200</v>
      </c>
      <c r="Q593" s="1">
        <f t="shared" si="62"/>
        <v>0.47735719717134667</v>
      </c>
      <c r="R593" s="1">
        <f t="shared" si="63"/>
        <v>16824.454414304113</v>
      </c>
    </row>
    <row r="594" spans="1:20" ht="24.75" x14ac:dyDescent="0.25">
      <c r="A594" s="1"/>
      <c r="B594" s="1"/>
      <c r="C594" s="1"/>
      <c r="D594" s="1"/>
      <c r="E594" s="1"/>
      <c r="F594" s="1"/>
      <c r="G594" s="62" t="s">
        <v>52</v>
      </c>
      <c r="H594" s="1">
        <f>AB585*AB586*AB587</f>
        <v>0.99786638533058836</v>
      </c>
      <c r="I594" s="63">
        <f>AC587-F587</f>
        <v>60.333333333333314</v>
      </c>
      <c r="J594" s="62" t="s">
        <v>56</v>
      </c>
      <c r="K594" s="1">
        <f>AA585*AB586*AB587*AB588+AA586*AB585*AB587*AB588+AA587*AB585*AB586*AB588+AA588*AB585*AB586*AB587</f>
        <v>3.4871319677677523E-3</v>
      </c>
      <c r="L594" s="1">
        <f>AC588+1*L578-F588</f>
        <v>169.33333333333331</v>
      </c>
      <c r="M594" s="1">
        <f>B594*C594*AH585+E594*F594*AH586+H594*I594*AH587+K594*L594*AH588</f>
        <v>5182.3450908899858</v>
      </c>
      <c r="O594" s="1" t="s">
        <v>30</v>
      </c>
      <c r="P594" s="1">
        <f>2*H579</f>
        <v>8640</v>
      </c>
      <c r="Q594" s="1">
        <f t="shared" si="62"/>
        <v>0.48698015484954404</v>
      </c>
      <c r="R594" s="1">
        <f t="shared" si="63"/>
        <v>17163.615557672179</v>
      </c>
    </row>
    <row r="595" spans="1:20" ht="30" x14ac:dyDescent="0.25">
      <c r="I595" s="84"/>
      <c r="J595" s="62" t="s">
        <v>52</v>
      </c>
      <c r="K595" s="85">
        <f>AB585*AB586*AB587*AB588</f>
        <v>0.99650951481292716</v>
      </c>
      <c r="L595" s="1">
        <f>AC588+0*L578-F588</f>
        <v>157.33333333333331</v>
      </c>
      <c r="M595" s="1">
        <f>B595*C595*AH585+E595*F595*AH586+H595*I595*AH587+K595*L595*AH588</f>
        <v>17246.258003029059</v>
      </c>
      <c r="O595" s="64" t="s">
        <v>65</v>
      </c>
      <c r="P595" s="65">
        <f>SUM(P591:P594)</f>
        <v>45920</v>
      </c>
      <c r="Q595" s="96" t="s">
        <v>108</v>
      </c>
      <c r="R595" s="97">
        <f>SUM(R591:R594)</f>
        <v>60478.475874477386</v>
      </c>
    </row>
    <row r="596" spans="1:20" x14ac:dyDescent="0.25">
      <c r="L596" s="176" t="s">
        <v>63</v>
      </c>
      <c r="M596" s="177">
        <f>SUM(M591:M595)</f>
        <v>24322.726288200123</v>
      </c>
    </row>
    <row r="597" spans="1:20" x14ac:dyDescent="0.25">
      <c r="L597" s="176"/>
      <c r="M597" s="177"/>
    </row>
    <row r="598" spans="1:20" x14ac:dyDescent="0.25">
      <c r="A598" s="178" t="s">
        <v>90</v>
      </c>
      <c r="B598" s="178"/>
      <c r="C598" s="178"/>
      <c r="D598" s="178"/>
      <c r="E598" s="178"/>
      <c r="F598" s="178"/>
      <c r="G598" s="178"/>
      <c r="H598" s="178"/>
      <c r="I598" s="178"/>
      <c r="J598" s="178"/>
      <c r="K598" s="178"/>
      <c r="L598" s="178"/>
      <c r="M598" s="178"/>
      <c r="N598" s="178"/>
    </row>
    <row r="599" spans="1:20" ht="15.75" x14ac:dyDescent="0.25">
      <c r="A599" s="87" t="s">
        <v>75</v>
      </c>
      <c r="B599" s="62" t="s">
        <v>49</v>
      </c>
      <c r="C599" s="90" t="s">
        <v>87</v>
      </c>
      <c r="D599" s="62" t="s">
        <v>88</v>
      </c>
      <c r="E599" s="87" t="s">
        <v>76</v>
      </c>
      <c r="F599" s="62" t="s">
        <v>57</v>
      </c>
      <c r="G599" s="90" t="s">
        <v>102</v>
      </c>
      <c r="H599" s="62" t="s">
        <v>88</v>
      </c>
      <c r="I599" s="87" t="s">
        <v>77</v>
      </c>
      <c r="J599" s="62" t="s">
        <v>61</v>
      </c>
      <c r="K599" s="90" t="s">
        <v>78</v>
      </c>
      <c r="L599" s="62" t="s">
        <v>88</v>
      </c>
      <c r="M599" s="87" t="s">
        <v>86</v>
      </c>
      <c r="N599" s="62" t="s">
        <v>84</v>
      </c>
      <c r="O599" s="90" t="s">
        <v>103</v>
      </c>
      <c r="P599" s="62" t="s">
        <v>88</v>
      </c>
    </row>
    <row r="600" spans="1:20" ht="24.75" x14ac:dyDescent="0.25">
      <c r="A600" s="62" t="s">
        <v>51</v>
      </c>
      <c r="B600" s="86">
        <v>2.9465138194053318E-5</v>
      </c>
      <c r="C600" s="86">
        <f>AC585+1*L578</f>
        <v>89</v>
      </c>
      <c r="D600" s="86">
        <f>MAX(B600*1.5*((C600-F585)*500/2),0)</f>
        <v>0.14364254869600993</v>
      </c>
      <c r="E600" s="62" t="s">
        <v>55</v>
      </c>
      <c r="F600" s="86">
        <v>6.0611921761537649E-9</v>
      </c>
      <c r="G600" s="86">
        <f>AC586+2*L578</f>
        <v>146.66666666666666</v>
      </c>
      <c r="H600" s="86">
        <f>F600*1.5*((G600-F586)*500/2+(G600-F587)*500+(G600-F588)*500)</f>
        <v>3.3260792066643774E-4</v>
      </c>
      <c r="I600" s="62" t="s">
        <v>59</v>
      </c>
      <c r="J600" s="86">
        <v>1.1509566978942565E-11</v>
      </c>
      <c r="K600" s="86">
        <f>AC587+3*L578</f>
        <v>236.33333333333331</v>
      </c>
      <c r="L600" s="86">
        <f>J600*1.5*((K600-G600)*500/2+(K600-G600)*500)</f>
        <v>1.1610275690008313E-6</v>
      </c>
      <c r="M600" s="62" t="s">
        <v>83</v>
      </c>
      <c r="N600" s="86">
        <v>1.565038399364562E-14</v>
      </c>
      <c r="O600" s="86">
        <f>AC588+4*L578</f>
        <v>311.33333333333331</v>
      </c>
      <c r="P600" s="86">
        <f>N600*1.5*((O600-K600)*500/2)</f>
        <v>4.4016704982128306E-10</v>
      </c>
    </row>
    <row r="601" spans="1:20" ht="24.75" x14ac:dyDescent="0.25">
      <c r="A601" s="62" t="s">
        <v>52</v>
      </c>
      <c r="B601" s="86">
        <v>0.99997053486180598</v>
      </c>
      <c r="C601" s="88">
        <f>AC585</f>
        <v>77</v>
      </c>
      <c r="D601" s="86">
        <f>MAX(B601*1.5*((C601-F585)*500/2),0)</f>
        <v>374.98895057317725</v>
      </c>
      <c r="E601" s="62" t="s">
        <v>56</v>
      </c>
      <c r="F601" s="86">
        <v>2.351602531637427E-4</v>
      </c>
      <c r="G601" s="86">
        <f>AC586+1*L578</f>
        <v>134.66666666666666</v>
      </c>
      <c r="H601" s="86">
        <f>F601*1.5*((G601-F586)*500/2+(G601-F588)*500)</f>
        <v>8.5539542088311382</v>
      </c>
      <c r="I601" s="62" t="s">
        <v>60</v>
      </c>
      <c r="J601" s="86">
        <v>4.5259429065206026E-7</v>
      </c>
      <c r="K601" s="86">
        <f>AC587+2*L578</f>
        <v>224.33333333333331</v>
      </c>
      <c r="L601" s="86">
        <f>J601*1.5*((K601-F587)*500/2+(K601-G601)*500)</f>
        <v>4.4750260488222449E-2</v>
      </c>
      <c r="M601" s="62" t="s">
        <v>59</v>
      </c>
      <c r="N601" s="86">
        <v>5.4262744632315419E-10</v>
      </c>
      <c r="O601" s="86">
        <f>AC588+3*L578</f>
        <v>299.33333333333331</v>
      </c>
      <c r="P601" s="86">
        <f>N601*1.5*((O601-K601)*500/2)</f>
        <v>1.526139692783871E-5</v>
      </c>
    </row>
    <row r="602" spans="1:20" x14ac:dyDescent="0.25">
      <c r="A602" s="86"/>
      <c r="B602" s="86"/>
      <c r="C602" s="89" t="s">
        <v>89</v>
      </c>
      <c r="D602" s="89">
        <f>SUM(D600:D601)</f>
        <v>375.13259312187324</v>
      </c>
      <c r="E602" s="62" t="s">
        <v>52</v>
      </c>
      <c r="F602" s="86">
        <v>0.99976483368564417</v>
      </c>
      <c r="G602" s="86">
        <f>AC586+0*L578</f>
        <v>122.66666666666666</v>
      </c>
      <c r="H602" s="86">
        <f>F602*1.5*((G602-F586)*500/2+(G602-F588)*500)</f>
        <v>22869.620570559102</v>
      </c>
      <c r="I602" s="62" t="s">
        <v>56</v>
      </c>
      <c r="J602" s="86">
        <v>2.9792908826726511E-5</v>
      </c>
      <c r="K602" s="86">
        <f>AC587+1*L578</f>
        <v>212.33333333333331</v>
      </c>
      <c r="L602" s="86">
        <f>J602*1.5*((K602-F587)*500/2+(K602-G602)*500)</f>
        <v>2.8117057705223139</v>
      </c>
      <c r="M602" s="62" t="s">
        <v>60</v>
      </c>
      <c r="N602" s="86">
        <v>3.3525923707555262E-6</v>
      </c>
      <c r="O602" s="86">
        <f>AC588+2*L578</f>
        <v>287.33333333333331</v>
      </c>
      <c r="P602" s="86">
        <f>N602*1.5*((O602-K602)*500/2)</f>
        <v>9.429166042749916E-2</v>
      </c>
    </row>
    <row r="603" spans="1:20" x14ac:dyDescent="0.25">
      <c r="A603" s="86"/>
      <c r="B603" s="86"/>
      <c r="C603" s="86"/>
      <c r="D603" s="86"/>
      <c r="E603" s="86"/>
      <c r="F603" s="86"/>
      <c r="G603" s="89" t="s">
        <v>79</v>
      </c>
      <c r="H603" s="89">
        <f>SUM(H600:H602)</f>
        <v>22878.174857375852</v>
      </c>
      <c r="I603" s="62" t="s">
        <v>52</v>
      </c>
      <c r="J603" s="86">
        <v>0.99786638533058836</v>
      </c>
      <c r="K603" s="86">
        <f>AC587+0*L578</f>
        <v>200.33333333333331</v>
      </c>
      <c r="L603" s="86">
        <f>J603*1.5*((K603-F587)*500/2+(K603-G602)*500)</f>
        <v>80702.443913611321</v>
      </c>
      <c r="M603" s="62" t="s">
        <v>56</v>
      </c>
      <c r="N603" s="86">
        <v>3.4871319677677523E-3</v>
      </c>
      <c r="O603" s="86">
        <f>AC588+1*L578</f>
        <v>275.33333333333331</v>
      </c>
      <c r="P603" s="86">
        <f>N603*1.5*((O603-K603)*500/2)</f>
        <v>98.075586593468032</v>
      </c>
    </row>
    <row r="604" spans="1:20" x14ac:dyDescent="0.25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9" t="s">
        <v>79</v>
      </c>
      <c r="L604" s="89">
        <f>SUM(L600:L603)</f>
        <v>80705.300370803365</v>
      </c>
      <c r="M604" s="62" t="s">
        <v>52</v>
      </c>
      <c r="N604" s="86">
        <v>0.99650951481292716</v>
      </c>
      <c r="O604" s="86">
        <f>AC588+0*L578</f>
        <v>263.33333333333331</v>
      </c>
      <c r="P604" s="86">
        <f>N604*1.5*((O604-K603)*500/2)</f>
        <v>23542.537287455405</v>
      </c>
      <c r="Q604" s="179" t="s">
        <v>80</v>
      </c>
      <c r="R604" s="179"/>
      <c r="S604" s="180">
        <f>D602+H603+L604+P605</f>
        <v>127599.31500227223</v>
      </c>
      <c r="T604" s="180"/>
    </row>
    <row r="605" spans="1:20" x14ac:dyDescent="0.25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9" t="s">
        <v>79</v>
      </c>
      <c r="P605" s="89">
        <f>SUM(P600:P604)</f>
        <v>23640.707180971138</v>
      </c>
      <c r="Q605" s="179"/>
      <c r="R605" s="179"/>
      <c r="S605" s="180"/>
      <c r="T605" s="180"/>
    </row>
    <row r="606" spans="1:20" x14ac:dyDescent="0.25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</row>
    <row r="607" spans="1:20" x14ac:dyDescent="0.25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</row>
    <row r="608" spans="1:20" x14ac:dyDescent="0.25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</row>
    <row r="609" spans="1:34" ht="24.75" thickBot="1" x14ac:dyDescent="0.3">
      <c r="O609" s="131" t="s">
        <v>81</v>
      </c>
      <c r="P609" s="131"/>
      <c r="Q609" s="131">
        <f>(R595+P595+M596+S604)/AC588</f>
        <v>980.96398923398635</v>
      </c>
      <c r="R609" s="131"/>
    </row>
    <row r="610" spans="1:34" x14ac:dyDescent="0.25">
      <c r="A610" s="181" t="s">
        <v>121</v>
      </c>
      <c r="B610" s="182"/>
    </row>
    <row r="611" spans="1:34" ht="15.75" thickBot="1" x14ac:dyDescent="0.3">
      <c r="A611" s="183"/>
      <c r="B611" s="184"/>
    </row>
    <row r="612" spans="1:34" ht="21" x14ac:dyDescent="0.35">
      <c r="A612" s="185" t="s">
        <v>14</v>
      </c>
      <c r="B612" s="185"/>
      <c r="C612" s="165"/>
      <c r="D612" s="165"/>
      <c r="E612" s="165"/>
      <c r="F612" s="165"/>
      <c r="G612" s="165"/>
      <c r="H612" s="165"/>
      <c r="I612" s="165"/>
      <c r="J612" s="165"/>
      <c r="K612" s="165"/>
      <c r="L612" s="165"/>
      <c r="M612" s="165"/>
      <c r="O612" s="166" t="s">
        <v>72</v>
      </c>
      <c r="P612" s="166"/>
      <c r="Q612" s="166"/>
      <c r="R612" s="166"/>
      <c r="S612" s="166"/>
      <c r="T612" s="166"/>
      <c r="U612" s="166"/>
      <c r="V612" s="166"/>
    </row>
    <row r="613" spans="1:34" ht="36" x14ac:dyDescent="0.25">
      <c r="A613" s="4" t="s">
        <v>15</v>
      </c>
      <c r="B613" s="4" t="s">
        <v>16</v>
      </c>
      <c r="C613" s="4" t="s">
        <v>31</v>
      </c>
      <c r="D613" s="6" t="s">
        <v>17</v>
      </c>
      <c r="E613" s="6" t="s">
        <v>18</v>
      </c>
      <c r="F613" s="6" t="s">
        <v>19</v>
      </c>
      <c r="G613" s="6" t="s">
        <v>20</v>
      </c>
      <c r="H613" s="6" t="s">
        <v>21</v>
      </c>
      <c r="I613" s="6" t="s">
        <v>22</v>
      </c>
      <c r="J613" s="6" t="s">
        <v>23</v>
      </c>
      <c r="K613" s="6" t="s">
        <v>24</v>
      </c>
      <c r="L613" s="6" t="s">
        <v>25</v>
      </c>
      <c r="M613" s="6" t="s">
        <v>26</v>
      </c>
      <c r="N613" s="8"/>
      <c r="O613" s="167" t="s">
        <v>32</v>
      </c>
      <c r="P613" s="167" t="s">
        <v>35</v>
      </c>
      <c r="Q613" s="167" t="s">
        <v>66</v>
      </c>
      <c r="R613" s="99" t="s">
        <v>67</v>
      </c>
      <c r="S613" s="99" t="s">
        <v>68</v>
      </c>
      <c r="T613" s="167" t="s">
        <v>69</v>
      </c>
      <c r="U613" s="71" t="s">
        <v>33</v>
      </c>
      <c r="V613" s="99" t="s">
        <v>70</v>
      </c>
    </row>
    <row r="614" spans="1:34" x14ac:dyDescent="0.25">
      <c r="A614" s="3" t="s">
        <v>27</v>
      </c>
      <c r="B614" s="3">
        <v>0</v>
      </c>
      <c r="C614" s="3">
        <v>0.3</v>
      </c>
      <c r="D614" s="3">
        <v>243</v>
      </c>
      <c r="E614" s="3">
        <v>1.73</v>
      </c>
      <c r="F614" s="3">
        <v>5</v>
      </c>
      <c r="G614" s="169">
        <v>12</v>
      </c>
      <c r="H614" s="3">
        <v>1820</v>
      </c>
      <c r="I614" s="169">
        <v>19645</v>
      </c>
      <c r="J614" s="3">
        <v>20</v>
      </c>
      <c r="K614" s="3">
        <v>40</v>
      </c>
      <c r="L614" s="3">
        <v>500</v>
      </c>
      <c r="M614" s="3">
        <v>1000</v>
      </c>
      <c r="O614" s="168"/>
      <c r="P614" s="168"/>
      <c r="Q614" s="168"/>
      <c r="R614" s="72" t="s">
        <v>71</v>
      </c>
      <c r="S614" s="72" t="s">
        <v>71</v>
      </c>
      <c r="T614" s="168"/>
      <c r="U614" s="73">
        <v>500</v>
      </c>
      <c r="V614" s="3">
        <v>1.5</v>
      </c>
    </row>
    <row r="615" spans="1:34" x14ac:dyDescent="0.25">
      <c r="A615" s="3" t="s">
        <v>28</v>
      </c>
      <c r="B615" s="3">
        <v>0</v>
      </c>
      <c r="C615" s="3">
        <v>0.3</v>
      </c>
      <c r="D615" s="3">
        <v>254</v>
      </c>
      <c r="E615" s="3">
        <v>1.88</v>
      </c>
      <c r="F615" s="3">
        <v>3</v>
      </c>
      <c r="G615" s="170"/>
      <c r="H615" s="3">
        <v>2720</v>
      </c>
      <c r="I615" s="170"/>
      <c r="J615" s="5"/>
      <c r="K615" s="5"/>
      <c r="L615" s="5"/>
      <c r="M615" s="5"/>
      <c r="O615" s="74">
        <v>1</v>
      </c>
      <c r="P615" s="74">
        <v>106</v>
      </c>
      <c r="Q615" s="74">
        <v>110</v>
      </c>
      <c r="R615" s="74">
        <v>6</v>
      </c>
      <c r="S615" s="74">
        <v>5</v>
      </c>
      <c r="T615" s="74">
        <f>R615*$U$5/60+S615</f>
        <v>55</v>
      </c>
      <c r="U615" s="75"/>
    </row>
    <row r="616" spans="1:34" x14ac:dyDescent="0.25">
      <c r="A616" s="3" t="s">
        <v>29</v>
      </c>
      <c r="B616" s="3">
        <v>0</v>
      </c>
      <c r="C616" s="3">
        <v>0.3</v>
      </c>
      <c r="D616" s="3">
        <v>143</v>
      </c>
      <c r="E616" s="3">
        <v>2.4300000000000002</v>
      </c>
      <c r="F616" s="3">
        <v>8</v>
      </c>
      <c r="G616" s="170"/>
      <c r="H616" s="3">
        <v>3700</v>
      </c>
      <c r="I616" s="170"/>
      <c r="J616" s="5"/>
      <c r="K616" s="140" t="s">
        <v>73</v>
      </c>
      <c r="L616" s="141">
        <v>12</v>
      </c>
      <c r="M616" s="140" t="s">
        <v>74</v>
      </c>
      <c r="N616" s="141">
        <v>19645</v>
      </c>
      <c r="O616" s="74">
        <v>2</v>
      </c>
      <c r="P616" s="74">
        <v>76</v>
      </c>
      <c r="Q616" s="74">
        <v>40</v>
      </c>
      <c r="R616" s="74">
        <v>9</v>
      </c>
      <c r="S616" s="74">
        <v>2</v>
      </c>
      <c r="T616" s="74">
        <f t="shared" ref="T616:T618" si="64">R616*$U$5/60+S616</f>
        <v>77</v>
      </c>
      <c r="U616" s="75"/>
    </row>
    <row r="617" spans="1:34" x14ac:dyDescent="0.25">
      <c r="A617" s="3" t="s">
        <v>30</v>
      </c>
      <c r="B617" s="3">
        <v>0</v>
      </c>
      <c r="C617" s="3">
        <v>0.3</v>
      </c>
      <c r="D617" s="3">
        <v>449</v>
      </c>
      <c r="E617" s="3">
        <v>2.5299999999999998</v>
      </c>
      <c r="F617" s="3">
        <v>4</v>
      </c>
      <c r="G617" s="171"/>
      <c r="H617" s="3">
        <v>4320</v>
      </c>
      <c r="I617" s="171"/>
      <c r="J617" s="5"/>
      <c r="K617" s="140"/>
      <c r="L617" s="141"/>
      <c r="M617" s="140"/>
      <c r="N617" s="141"/>
      <c r="O617" s="74">
        <v>3</v>
      </c>
      <c r="P617" s="74">
        <v>95</v>
      </c>
      <c r="Q617" s="74">
        <v>67</v>
      </c>
      <c r="R617" s="74">
        <v>5</v>
      </c>
      <c r="S617" s="74">
        <v>4</v>
      </c>
      <c r="T617" s="74">
        <f t="shared" si="64"/>
        <v>45.666666666666664</v>
      </c>
      <c r="U617" s="75"/>
    </row>
    <row r="618" spans="1:34" ht="15.75" thickBo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O618" s="74">
        <v>4</v>
      </c>
      <c r="P618" s="74">
        <v>140</v>
      </c>
      <c r="Q618" s="94">
        <v>85</v>
      </c>
      <c r="R618" s="94">
        <v>8</v>
      </c>
      <c r="S618" s="94">
        <v>3</v>
      </c>
      <c r="T618" s="74">
        <f t="shared" si="64"/>
        <v>69.666666666666671</v>
      </c>
    </row>
    <row r="619" spans="1:34" ht="15" customHeight="1" x14ac:dyDescent="0.25">
      <c r="A619" s="142" t="s">
        <v>100</v>
      </c>
      <c r="B619" s="144" t="s">
        <v>129</v>
      </c>
      <c r="C619" s="144"/>
      <c r="D619" s="144"/>
      <c r="E619" s="144"/>
      <c r="F619" s="20" t="s">
        <v>27</v>
      </c>
      <c r="G619" s="20" t="s">
        <v>28</v>
      </c>
      <c r="H619" s="20" t="s">
        <v>29</v>
      </c>
      <c r="I619" s="20" t="s">
        <v>30</v>
      </c>
    </row>
    <row r="620" spans="1:34" ht="15.75" customHeight="1" thickBot="1" x14ac:dyDescent="0.3">
      <c r="A620" s="143"/>
      <c r="B620" s="145"/>
      <c r="C620" s="145"/>
      <c r="D620" s="145"/>
      <c r="E620" s="145"/>
      <c r="F620" s="20">
        <v>91</v>
      </c>
      <c r="G620" s="26">
        <v>91</v>
      </c>
      <c r="H620" s="26">
        <v>91</v>
      </c>
      <c r="I620" s="26">
        <v>91</v>
      </c>
    </row>
    <row r="621" spans="1:34" ht="15.75" customHeight="1" thickBot="1" x14ac:dyDescent="0.3">
      <c r="A621" s="143"/>
      <c r="B621" s="145"/>
      <c r="C621" s="145"/>
      <c r="D621" s="145"/>
      <c r="E621" s="145"/>
      <c r="F621" s="7"/>
      <c r="G621" s="146" t="s">
        <v>27</v>
      </c>
      <c r="H621" s="147"/>
      <c r="I621" s="147"/>
      <c r="J621" s="147"/>
      <c r="K621" s="148"/>
      <c r="L621" s="149" t="s">
        <v>28</v>
      </c>
      <c r="M621" s="150"/>
      <c r="N621" s="150"/>
      <c r="O621" s="150"/>
      <c r="P621" s="151"/>
      <c r="Q621" s="152" t="s">
        <v>29</v>
      </c>
      <c r="R621" s="153"/>
      <c r="S621" s="153"/>
      <c r="T621" s="153"/>
      <c r="U621" s="154"/>
      <c r="V621" s="155" t="s">
        <v>30</v>
      </c>
      <c r="W621" s="156"/>
      <c r="X621" s="156"/>
      <c r="Y621" s="156"/>
      <c r="Z621" s="157"/>
      <c r="AA621" s="158" t="s">
        <v>42</v>
      </c>
      <c r="AB621" s="159"/>
      <c r="AC621" s="160" t="s">
        <v>44</v>
      </c>
      <c r="AD621" s="162" t="s">
        <v>47</v>
      </c>
      <c r="AE621" s="163"/>
      <c r="AF621" s="163"/>
      <c r="AG621" s="164"/>
      <c r="AH621" s="138" t="s">
        <v>62</v>
      </c>
    </row>
    <row r="622" spans="1:34" ht="36.75" x14ac:dyDescent="0.25">
      <c r="A622" s="21" t="s">
        <v>32</v>
      </c>
      <c r="B622" s="22" t="s">
        <v>37</v>
      </c>
      <c r="C622" s="23" t="s">
        <v>33</v>
      </c>
      <c r="D622" s="22" t="s">
        <v>38</v>
      </c>
      <c r="E622" s="22" t="s">
        <v>34</v>
      </c>
      <c r="F622" s="25" t="s">
        <v>35</v>
      </c>
      <c r="G622" s="27" t="s">
        <v>39</v>
      </c>
      <c r="H622" s="10" t="s">
        <v>40</v>
      </c>
      <c r="I622" s="10" t="s">
        <v>45</v>
      </c>
      <c r="J622" s="10" t="s">
        <v>46</v>
      </c>
      <c r="K622" s="28" t="s">
        <v>41</v>
      </c>
      <c r="L622" s="30" t="s">
        <v>39</v>
      </c>
      <c r="M622" s="13" t="s">
        <v>40</v>
      </c>
      <c r="N622" s="13" t="s">
        <v>45</v>
      </c>
      <c r="O622" s="13" t="s">
        <v>46</v>
      </c>
      <c r="P622" s="31" t="s">
        <v>41</v>
      </c>
      <c r="Q622" s="33" t="s">
        <v>39</v>
      </c>
      <c r="R622" s="12" t="s">
        <v>40</v>
      </c>
      <c r="S622" s="12" t="s">
        <v>45</v>
      </c>
      <c r="T622" s="12" t="s">
        <v>46</v>
      </c>
      <c r="U622" s="34" t="s">
        <v>41</v>
      </c>
      <c r="V622" s="36" t="s">
        <v>39</v>
      </c>
      <c r="W622" s="11" t="s">
        <v>40</v>
      </c>
      <c r="X622" s="11" t="s">
        <v>45</v>
      </c>
      <c r="Y622" s="11" t="s">
        <v>46</v>
      </c>
      <c r="Z622" s="37" t="s">
        <v>41</v>
      </c>
      <c r="AA622" s="39" t="s">
        <v>41</v>
      </c>
      <c r="AB622" s="40" t="s">
        <v>43</v>
      </c>
      <c r="AC622" s="161"/>
      <c r="AD622" s="43" t="s">
        <v>27</v>
      </c>
      <c r="AE622" s="1" t="s">
        <v>28</v>
      </c>
      <c r="AF622" s="1" t="s">
        <v>29</v>
      </c>
      <c r="AG622" s="1" t="s">
        <v>30</v>
      </c>
      <c r="AH622" s="139"/>
    </row>
    <row r="623" spans="1:34" x14ac:dyDescent="0.25">
      <c r="A623" s="24">
        <v>2</v>
      </c>
      <c r="B623" s="9">
        <v>9</v>
      </c>
      <c r="C623" s="9">
        <v>500</v>
      </c>
      <c r="D623" s="9">
        <v>2</v>
      </c>
      <c r="E623" s="48">
        <f>B623*C623/60+D623</f>
        <v>77</v>
      </c>
      <c r="F623" s="100">
        <v>76</v>
      </c>
      <c r="G623" s="49">
        <f>B$5*(1-AD623*C$5)</f>
        <v>0</v>
      </c>
      <c r="H623" s="50">
        <f>G623+E623</f>
        <v>77</v>
      </c>
      <c r="I623" s="15">
        <f>(H623/D$5)^E$5</f>
        <v>0.13693992990275231</v>
      </c>
      <c r="J623" s="15">
        <f>(G623/D$5)^E$5</f>
        <v>0</v>
      </c>
      <c r="K623" s="29">
        <f>1-EXP(J623-I623)</f>
        <v>0.1279773929583623</v>
      </c>
      <c r="L623" s="51">
        <f>B$6*(1-AE623*C$6)</f>
        <v>0</v>
      </c>
      <c r="M623" s="52">
        <f>L623+E623</f>
        <v>77</v>
      </c>
      <c r="N623" s="17">
        <f>(M623/D$6)^E$6</f>
        <v>0.10605109964467559</v>
      </c>
      <c r="O623" s="17">
        <f>(L623/D$6)^E$6</f>
        <v>0</v>
      </c>
      <c r="P623" s="32">
        <f>1-EXP(O623-N623)</f>
        <v>0.10062131102974814</v>
      </c>
      <c r="Q623" s="53">
        <f>B$7*(1-AF623*C$7)</f>
        <v>0</v>
      </c>
      <c r="R623" s="54">
        <f>Q623+E623</f>
        <v>77</v>
      </c>
      <c r="S623" s="16">
        <f>(R623/D$7)^E$7</f>
        <v>0.2221804751105394</v>
      </c>
      <c r="T623" s="16">
        <f>(Q623/D$7)^E$7</f>
        <v>0</v>
      </c>
      <c r="U623" s="35">
        <f>1-EXP(T623-S623)</f>
        <v>0.19922916791162293</v>
      </c>
      <c r="V623" s="55">
        <f>B$8*(1-AG623*C$8)</f>
        <v>0</v>
      </c>
      <c r="W623" s="56">
        <f>V623+E623</f>
        <v>77</v>
      </c>
      <c r="X623" s="18">
        <f>(W623/D$8)^E$8</f>
        <v>1.1551497592884551E-2</v>
      </c>
      <c r="Y623" s="18">
        <f>(V623/D$8)^E$8</f>
        <v>0</v>
      </c>
      <c r="Z623" s="38">
        <f>1-EXP(Y623-X623)</f>
        <v>1.1485035204098715E-2</v>
      </c>
      <c r="AA623" s="41">
        <f>K623*P623*U623*Z623</f>
        <v>2.9465138194053318E-5</v>
      </c>
      <c r="AB623" s="42">
        <f>1-AA623</f>
        <v>0.99997053486180598</v>
      </c>
      <c r="AC623" s="47">
        <f>(AD623*F$5+AE623*F$6+AF623*F$7+AG623*F$8)+E623</f>
        <v>77</v>
      </c>
      <c r="AD623" s="43">
        <v>0</v>
      </c>
      <c r="AE623" s="1">
        <v>0</v>
      </c>
      <c r="AF623" s="1">
        <v>0</v>
      </c>
      <c r="AG623" s="1">
        <v>0</v>
      </c>
      <c r="AH623" s="74">
        <v>40</v>
      </c>
    </row>
    <row r="624" spans="1:34" x14ac:dyDescent="0.25">
      <c r="A624" s="76">
        <v>4</v>
      </c>
      <c r="B624" s="58">
        <v>8</v>
      </c>
      <c r="C624" s="9">
        <v>500</v>
      </c>
      <c r="D624" s="58">
        <v>3</v>
      </c>
      <c r="E624" s="48">
        <f t="shared" ref="E624:E626" si="65">B624*C624/60+D624</f>
        <v>69.666666666666671</v>
      </c>
      <c r="F624" s="100">
        <v>140</v>
      </c>
      <c r="G624" s="49">
        <f>H623*(1-AD624*C$5)</f>
        <v>77</v>
      </c>
      <c r="H624" s="50">
        <f>G624+E624</f>
        <v>146.66666666666669</v>
      </c>
      <c r="I624" s="15">
        <f>(H624/D$5)^E$5</f>
        <v>0.41749810283193062</v>
      </c>
      <c r="J624" s="15">
        <f>(G624/D$5)^E$5</f>
        <v>0.13693992990275231</v>
      </c>
      <c r="K624" s="29">
        <f>1-EXP(J624-I624)</f>
        <v>0.24463799885610593</v>
      </c>
      <c r="L624" s="51">
        <f>M623*(1-AE624*C$6)</f>
        <v>77</v>
      </c>
      <c r="M624" s="52">
        <f>L624+E624</f>
        <v>146.66666666666669</v>
      </c>
      <c r="N624" s="17">
        <f>(M624/D$6)^E$6</f>
        <v>0.35613584348340649</v>
      </c>
      <c r="O624" s="17">
        <f>(L624/D$6)^E$6</f>
        <v>0.10605109964467559</v>
      </c>
      <c r="P624" s="32">
        <f>1-EXP(O624-N624)</f>
        <v>0.2212652127001522</v>
      </c>
      <c r="Q624" s="53">
        <f>R623*(1-AF624*C$7)</f>
        <v>77</v>
      </c>
      <c r="R624" s="54">
        <f>Q624+E624</f>
        <v>146.66666666666669</v>
      </c>
      <c r="S624" s="16">
        <f>(R624/D$7)^E$7</f>
        <v>1.0634541830073496</v>
      </c>
      <c r="T624" s="16">
        <f>(Q624/D$7)^E$7</f>
        <v>0.2221804751105394</v>
      </c>
      <c r="U624" s="35">
        <f>1-EXP(T624-S624)</f>
        <v>0.56883899963352347</v>
      </c>
      <c r="V624" s="55">
        <f>W623*(1-AG624*C$8)</f>
        <v>77</v>
      </c>
      <c r="W624" s="56">
        <f>V624+E624</f>
        <v>146.66666666666669</v>
      </c>
      <c r="X624" s="18">
        <f>(W624/D$8)^E$8</f>
        <v>5.897056032024859E-2</v>
      </c>
      <c r="Y624" s="18">
        <f>(V624/D$8)^E$8</f>
        <v>1.1551497592884551E-2</v>
      </c>
      <c r="Z624" s="38">
        <f>1-EXP(Y624-X624)</f>
        <v>4.631234111296112E-2</v>
      </c>
      <c r="AA624" s="41">
        <f>K624*P624*U624*Z624</f>
        <v>1.4260119156093449E-3</v>
      </c>
      <c r="AB624" s="42">
        <f>1-AA624</f>
        <v>0.99857398808439068</v>
      </c>
      <c r="AC624" s="47">
        <f>AF624*F$7+E624+AC623</f>
        <v>146.66666666666669</v>
      </c>
      <c r="AD624" s="43">
        <v>0</v>
      </c>
      <c r="AE624" s="1">
        <v>0</v>
      </c>
      <c r="AF624" s="1">
        <v>0</v>
      </c>
      <c r="AG624" s="1">
        <v>0</v>
      </c>
      <c r="AH624" s="74">
        <v>85</v>
      </c>
    </row>
    <row r="625" spans="1:34" x14ac:dyDescent="0.25">
      <c r="A625" s="24">
        <v>1</v>
      </c>
      <c r="B625" s="9">
        <v>6</v>
      </c>
      <c r="C625" s="58">
        <v>500</v>
      </c>
      <c r="D625" s="58">
        <v>5</v>
      </c>
      <c r="E625" s="48">
        <f t="shared" si="65"/>
        <v>55</v>
      </c>
      <c r="F625" s="100">
        <v>106</v>
      </c>
      <c r="G625" s="68">
        <f>H624*(1-AD625*C$5)</f>
        <v>102.66666666666667</v>
      </c>
      <c r="H625" s="69">
        <f>G625+E625</f>
        <v>157.66666666666669</v>
      </c>
      <c r="I625" s="70">
        <f>(H625/D$5)^E$5</f>
        <v>0.47314161668142424</v>
      </c>
      <c r="J625" s="70">
        <f>(G625/D$5)^E$5</f>
        <v>0.22525483181366224</v>
      </c>
      <c r="K625" s="29">
        <f>1-EXP(J625-I625)</f>
        <v>0.21955170316640893</v>
      </c>
      <c r="L625" s="51">
        <f>M624*(1-AE625*C$6)</f>
        <v>102.66666666666667</v>
      </c>
      <c r="M625" s="52">
        <f>L625+E625</f>
        <v>157.66666666666669</v>
      </c>
      <c r="N625" s="17">
        <f>(M625/D$6)^E$6</f>
        <v>0.40800322739554595</v>
      </c>
      <c r="O625" s="17">
        <f>(L625/D$6)^E$6</f>
        <v>0.18213776408892768</v>
      </c>
      <c r="P625" s="32">
        <f>1-EXP(O625-N625)</f>
        <v>0.20217456875895568</v>
      </c>
      <c r="Q625" s="53">
        <f>R624*(1-AF625*C$7)</f>
        <v>102.66666666666667</v>
      </c>
      <c r="R625" s="54">
        <f>Q625+E625</f>
        <v>157.66666666666669</v>
      </c>
      <c r="S625" s="16">
        <f>(R625/D$7)^E$7</f>
        <v>1.2677725729300298</v>
      </c>
      <c r="T625" s="16">
        <f>(Q625/D$7)^E$7</f>
        <v>0.44699948326797367</v>
      </c>
      <c r="U625" s="35">
        <f>1-EXP(T625-S625)</f>
        <v>0.55990870707098139</v>
      </c>
      <c r="V625" s="55">
        <f>W624*(1-AG625*C$8)</f>
        <v>102.66666666666667</v>
      </c>
      <c r="W625" s="56">
        <f>V625+E625</f>
        <v>157.66666666666669</v>
      </c>
      <c r="X625" s="18">
        <f>(W625/D$8)^E$8</f>
        <v>7.0810664334380782E-2</v>
      </c>
      <c r="Y625" s="18">
        <f>(V625/D$8)^E$8</f>
        <v>2.3918464493037566E-2</v>
      </c>
      <c r="Z625" s="38">
        <f>1-EXP(Y625-X625)</f>
        <v>4.5809746092932202E-2</v>
      </c>
      <c r="AA625" s="41">
        <f>K625*P625*U625*Z625</f>
        <v>1.1385141739994828E-3</v>
      </c>
      <c r="AB625" s="42">
        <f>1-AA625</f>
        <v>0.99886148582600054</v>
      </c>
      <c r="AC625" s="47">
        <f>(AF625*F$7)+E625+AC624</f>
        <v>209.66666666666669</v>
      </c>
      <c r="AD625" s="77">
        <v>1</v>
      </c>
      <c r="AE625" s="78">
        <v>1</v>
      </c>
      <c r="AF625" s="78">
        <v>1</v>
      </c>
      <c r="AG625" s="78">
        <v>1</v>
      </c>
      <c r="AH625" s="74">
        <v>110</v>
      </c>
    </row>
    <row r="626" spans="1:34" ht="15.75" thickBot="1" x14ac:dyDescent="0.3">
      <c r="A626" s="57">
        <v>3</v>
      </c>
      <c r="B626" s="58">
        <v>5</v>
      </c>
      <c r="C626" s="58">
        <v>500</v>
      </c>
      <c r="D626" s="9">
        <v>4</v>
      </c>
      <c r="E626" s="48">
        <f t="shared" si="65"/>
        <v>45.666666666666664</v>
      </c>
      <c r="F626" s="100">
        <v>95</v>
      </c>
      <c r="G626" s="68">
        <f>H625*(1-AD626*C$5)</f>
        <v>110.36666666666667</v>
      </c>
      <c r="H626" s="69">
        <f>G626+E626</f>
        <v>156.03333333333333</v>
      </c>
      <c r="I626" s="70">
        <f>(H626/D$5)^E$5</f>
        <v>0.46469417134425517</v>
      </c>
      <c r="J626" s="70">
        <f>(G626/D$5)^E$5</f>
        <v>0.25527645411246963</v>
      </c>
      <c r="K626" s="29">
        <f>1-EXP(J626-I626)</f>
        <v>0.18894362734892267</v>
      </c>
      <c r="L626" s="51">
        <f>M625*(1-AE626*C$6)</f>
        <v>110.36666666666667</v>
      </c>
      <c r="M626" s="52">
        <f>L626+E626</f>
        <v>156.03333333333333</v>
      </c>
      <c r="N626" s="17">
        <f>(M626/D$6)^E$6</f>
        <v>0.40009331888325944</v>
      </c>
      <c r="O626" s="17">
        <f>(L626/D$6)^E$6</f>
        <v>0.20866418513797683</v>
      </c>
      <c r="P626" s="32">
        <f>1-EXP(O626-N626)</f>
        <v>0.17422185716279748</v>
      </c>
      <c r="Q626" s="53">
        <f>R625*(1-AF626*C$7)</f>
        <v>110.36666666666667</v>
      </c>
      <c r="R626" s="54">
        <f>Q626+E626</f>
        <v>156.03333333333333</v>
      </c>
      <c r="S626" s="16">
        <f>(R626/D$7)^E$7</f>
        <v>1.236094511081606</v>
      </c>
      <c r="T626" s="16">
        <f>(Q626/D$7)^E$7</f>
        <v>0.53288020683549875</v>
      </c>
      <c r="U626" s="35">
        <f>1-EXP(T626-S626)</f>
        <v>0.50500830990741408</v>
      </c>
      <c r="V626" s="55">
        <f>W625*(1-AG626*C$8)</f>
        <v>110.36666666666667</v>
      </c>
      <c r="W626" s="56">
        <f>V626+E626</f>
        <v>156.03333333333333</v>
      </c>
      <c r="X626" s="18">
        <f>(W626/D$8)^E$8</f>
        <v>6.8969447168694797E-2</v>
      </c>
      <c r="Y626" s="18">
        <f>(V626/D$8)^E$8</f>
        <v>2.8720811730675255E-2</v>
      </c>
      <c r="Z626" s="38">
        <f>1-EXP(Y626-X626)</f>
        <v>3.9449417455385882E-2</v>
      </c>
      <c r="AA626" s="41">
        <f>K626*P626*U626*Z626</f>
        <v>6.5580391732311964E-4</v>
      </c>
      <c r="AB626" s="42">
        <f>1-AA626</f>
        <v>0.99934419608267688</v>
      </c>
      <c r="AC626" s="47">
        <f>(AF626*F$7)+E626+AC625</f>
        <v>263.33333333333337</v>
      </c>
      <c r="AD626" s="80">
        <v>1</v>
      </c>
      <c r="AE626" s="45">
        <v>1</v>
      </c>
      <c r="AF626" s="81">
        <v>1</v>
      </c>
      <c r="AG626" s="45">
        <v>1</v>
      </c>
      <c r="AH626" s="94">
        <v>67</v>
      </c>
    </row>
    <row r="627" spans="1:34" ht="18.75" x14ac:dyDescent="0.3">
      <c r="A627" s="132" t="s">
        <v>53</v>
      </c>
      <c r="B627" s="132"/>
      <c r="C627" s="132"/>
      <c r="D627" s="132"/>
      <c r="E627" s="132"/>
      <c r="F627" s="132"/>
      <c r="G627" s="132"/>
      <c r="H627" s="132"/>
      <c r="I627" s="132"/>
      <c r="J627" s="132"/>
      <c r="AG627" s="46"/>
    </row>
    <row r="628" spans="1:34" ht="15.75" x14ac:dyDescent="0.25">
      <c r="A628" s="19" t="s">
        <v>48</v>
      </c>
      <c r="B628" s="60" t="s">
        <v>49</v>
      </c>
      <c r="C628" s="61" t="s">
        <v>50</v>
      </c>
      <c r="D628" s="19" t="s">
        <v>82</v>
      </c>
      <c r="E628" s="60" t="s">
        <v>57</v>
      </c>
      <c r="F628" s="61" t="s">
        <v>50</v>
      </c>
      <c r="G628" s="19" t="s">
        <v>58</v>
      </c>
      <c r="H628" s="60" t="s">
        <v>61</v>
      </c>
      <c r="I628" s="61" t="s">
        <v>50</v>
      </c>
      <c r="J628" s="19" t="s">
        <v>54</v>
      </c>
      <c r="K628" s="83" t="s">
        <v>84</v>
      </c>
      <c r="L628" s="61" t="s">
        <v>50</v>
      </c>
      <c r="M628" s="61" t="s">
        <v>85</v>
      </c>
      <c r="O628" s="174" t="s">
        <v>64</v>
      </c>
      <c r="P628" s="174"/>
      <c r="Q628" s="175" t="s">
        <v>109</v>
      </c>
      <c r="R628" s="175"/>
    </row>
    <row r="629" spans="1:34" ht="24.75" x14ac:dyDescent="0.25">
      <c r="A629" s="61" t="s">
        <v>51</v>
      </c>
      <c r="B629" s="1">
        <f>AA623</f>
        <v>2.9465138194053318E-5</v>
      </c>
      <c r="C629" s="59">
        <f>MAX(AC623+1*L616-F623,0)</f>
        <v>13</v>
      </c>
      <c r="D629" s="62" t="s">
        <v>55</v>
      </c>
      <c r="E629" s="1">
        <f>AA623*AA624</f>
        <v>4.2017638159796044E-8</v>
      </c>
      <c r="F629" s="1">
        <f>MAX(AC624+2*L616-F624,0)</f>
        <v>30.666666666666686</v>
      </c>
      <c r="G629" s="62" t="s">
        <v>59</v>
      </c>
      <c r="H629" s="1">
        <f>AA623*AA624*AA625</f>
        <v>4.7837676602909339E-11</v>
      </c>
      <c r="I629" s="1">
        <f>AC625+3*L616-F625</f>
        <v>139.66666666666669</v>
      </c>
      <c r="J629" s="62" t="s">
        <v>83</v>
      </c>
      <c r="K629" s="1">
        <f>AA623*AA624*AA625*AA626</f>
        <v>3.1372135711824489E-14</v>
      </c>
      <c r="L629" s="1">
        <f>AC626+4*L616-F626</f>
        <v>216.33333333333337</v>
      </c>
      <c r="M629" s="1">
        <f>B629*C629*AH623+E629*F629*AH624+H629*I629*AH625+K629*L629*AH626</f>
        <v>1.5432133238600661E-2</v>
      </c>
      <c r="O629" s="1" t="s">
        <v>27</v>
      </c>
      <c r="P629" s="1">
        <f>2*H614</f>
        <v>3640</v>
      </c>
      <c r="Q629" s="1">
        <f>(K623*(1-P623)*(1-U623)*(1-Z623))+(P623*(1-K623)*(1-U623)*(1-Z623))+(U623*(1-K623)*(1-P623)*(1-Z623))+(Z623*(1-K623)*(1-P623)*(1-U623))</f>
        <v>0.32223571239848364</v>
      </c>
      <c r="R629" s="1">
        <f>Q629*(L$7*(J$5*K$5+L$5)+I$5)</f>
        <v>11357.197683484555</v>
      </c>
    </row>
    <row r="630" spans="1:34" ht="24.75" x14ac:dyDescent="0.25">
      <c r="A630" s="62" t="s">
        <v>52</v>
      </c>
      <c r="B630" s="1">
        <f>AB623</f>
        <v>0.99997053486180598</v>
      </c>
      <c r="C630" s="59">
        <f>MAX(AC623-F623,0)</f>
        <v>1</v>
      </c>
      <c r="D630" s="62" t="s">
        <v>56</v>
      </c>
      <c r="E630" s="1">
        <f>AA623*AB624+AA624*AB623</f>
        <v>1.4553930185270787E-3</v>
      </c>
      <c r="F630" s="1">
        <f>MAX(AC624+1*L616-F624,0)</f>
        <v>18.666666666666686</v>
      </c>
      <c r="G630" s="62" t="s">
        <v>60</v>
      </c>
      <c r="H630" s="1">
        <f>AA623*AA624*AB625+AA624*AA625*AB623+AA623*AA625*AB624</f>
        <v>1.698955380816164E-6</v>
      </c>
      <c r="I630" s="1">
        <f>AC625+2*L616-F625</f>
        <v>127.66666666666669</v>
      </c>
      <c r="J630" s="62" t="s">
        <v>59</v>
      </c>
      <c r="K630">
        <f>AB623*AA624*AA625*AA626+AB624*AA623*AA625*AA626*+AB625*AA623*AA624*AA626+AB626*AA623*AA624*AA625</f>
        <v>1.112495399794756E-9</v>
      </c>
      <c r="L630" s="1">
        <f>AC626+3*L616-F626</f>
        <v>204.33333333333337</v>
      </c>
      <c r="M630" s="1">
        <f>B630*C630*AH623+E630*F630*AH624+H630*I630*AH625+K630*L630*AH626</f>
        <v>42.331919211032663</v>
      </c>
      <c r="O630" s="1" t="s">
        <v>28</v>
      </c>
      <c r="P630" s="1">
        <f>2*H615</f>
        <v>5440</v>
      </c>
      <c r="Q630" s="1">
        <f t="shared" ref="Q630:Q632" si="66">(K624*(1-P624)*(1-U624)*(1-Z624))+(P624*(1-K624)*(1-U624)*(1-Z624))+(U624*(1-K624)*(1-P624)*(1-Z624))+(Z624*(1-K624)*(1-P624)*(1-U624))</f>
        <v>0.47791608162662924</v>
      </c>
      <c r="R630" s="1">
        <f t="shared" ref="R630:R632" si="67">Q630*(L$7*(J$5*K$5+L$5)+I$5)</f>
        <v>16844.152296930548</v>
      </c>
    </row>
    <row r="631" spans="1:34" ht="24.75" x14ac:dyDescent="0.25">
      <c r="A631" s="1"/>
      <c r="B631" s="1"/>
      <c r="C631" s="1"/>
      <c r="D631" s="62" t="s">
        <v>52</v>
      </c>
      <c r="E631" s="1">
        <f>AB623*AB624</f>
        <v>0.99854456496383481</v>
      </c>
      <c r="F631" s="59">
        <f>MAX(AC624-F624,0)</f>
        <v>6.6666666666666856</v>
      </c>
      <c r="G631" s="62" t="s">
        <v>56</v>
      </c>
      <c r="H631" s="1">
        <f>AA623*AB624*AB625+AA624*AB623*AB625*+AA625*AB623*AB624</f>
        <v>3.1008900304139127E-5</v>
      </c>
      <c r="I631" s="1">
        <f>AC625+1*L616-F625</f>
        <v>115.66666666666669</v>
      </c>
      <c r="J631" s="62" t="s">
        <v>60</v>
      </c>
      <c r="K631" s="1">
        <f>AA623*AA624*AB625*AB626 + AA623*AA625*AB624*AB626 + AA623*AA626*AB624*AB625 + AA624*AA625*AB623*AB626 + AA624*AA626*AB623*AB625 + AA625*AA626*AB623*AB624</f>
        <v>3.3967623506124059E-6</v>
      </c>
      <c r="L631" s="1">
        <f>AC626+2*L616-F626</f>
        <v>192.33333333333337</v>
      </c>
      <c r="M631" s="1">
        <f>B631*C631*AH623+E631*F631*AH624+H631*I631*AH625+K631*L631*AH626</f>
        <v>566.2802285329484</v>
      </c>
      <c r="O631" s="1" t="s">
        <v>29</v>
      </c>
      <c r="P631" s="1">
        <f>2*(F616*(J614*K614+L614)+H616)</f>
        <v>28200</v>
      </c>
      <c r="Q631" s="1">
        <f t="shared" si="66"/>
        <v>0.4850322010513452</v>
      </c>
      <c r="R631" s="1">
        <f t="shared" si="67"/>
        <v>17094.95992605466</v>
      </c>
    </row>
    <row r="632" spans="1:34" ht="24.75" x14ac:dyDescent="0.25">
      <c r="A632" s="1"/>
      <c r="B632" s="1"/>
      <c r="C632" s="1"/>
      <c r="D632" s="1"/>
      <c r="E632" s="1"/>
      <c r="F632" s="1"/>
      <c r="G632" s="62" t="s">
        <v>52</v>
      </c>
      <c r="H632" s="1">
        <f>AB623*AB624*AB625</f>
        <v>0.99740770782325339</v>
      </c>
      <c r="I632" s="63">
        <f>AC625-F625</f>
        <v>103.66666666666669</v>
      </c>
      <c r="J632" s="62" t="s">
        <v>56</v>
      </c>
      <c r="K632" s="1">
        <f>AA623*AB624*AB625*AB626+AA624*AB623*AB625*AB626+AA625*AB623*AB624*AB626+AA626*AB623*AB624*AB625</f>
        <v>3.2429981343355912E-3</v>
      </c>
      <c r="L632" s="1">
        <f>AC626+1*L616-F626</f>
        <v>180.33333333333337</v>
      </c>
      <c r="M632" s="1">
        <f>B632*C632*AH623+E632*F632*AH624+H632*I632*AH625+K632*L632*AH626</f>
        <v>11412.955546002922</v>
      </c>
      <c r="O632" s="1" t="s">
        <v>30</v>
      </c>
      <c r="P632" s="1">
        <f>2*H617</f>
        <v>8640</v>
      </c>
      <c r="Q632" s="1">
        <f t="shared" si="66"/>
        <v>0.4793355157984972</v>
      </c>
      <c r="R632" s="1">
        <f t="shared" si="67"/>
        <v>16894.180254318035</v>
      </c>
    </row>
    <row r="633" spans="1:34" ht="30" x14ac:dyDescent="0.25">
      <c r="I633" s="84"/>
      <c r="J633" s="62" t="s">
        <v>52</v>
      </c>
      <c r="K633" s="85">
        <f>AB623*AB624*AB625*AB626</f>
        <v>0.99675360394129464</v>
      </c>
      <c r="L633" s="1">
        <f>AC626+0*L616-F626</f>
        <v>168.33333333333337</v>
      </c>
      <c r="M633" s="1">
        <f>B633*C633*AH623+E633*F633*AH624+H633*I633*AH625+K633*L633*AH626</f>
        <v>11241.719396451237</v>
      </c>
      <c r="O633" s="64" t="s">
        <v>65</v>
      </c>
      <c r="P633" s="65">
        <f>SUM(P629:P632)</f>
        <v>45920</v>
      </c>
      <c r="Q633" s="96" t="s">
        <v>108</v>
      </c>
      <c r="R633" s="97">
        <f>SUM(R629:R632)</f>
        <v>62190.490160787798</v>
      </c>
    </row>
    <row r="634" spans="1:34" x14ac:dyDescent="0.25">
      <c r="L634" s="176" t="s">
        <v>63</v>
      </c>
      <c r="M634" s="177">
        <f>SUM(M629:M633)</f>
        <v>23263.302522331382</v>
      </c>
    </row>
    <row r="635" spans="1:34" x14ac:dyDescent="0.25">
      <c r="L635" s="176"/>
      <c r="M635" s="177"/>
    </row>
    <row r="636" spans="1:34" x14ac:dyDescent="0.25">
      <c r="A636" s="178" t="s">
        <v>90</v>
      </c>
      <c r="B636" s="178"/>
      <c r="C636" s="178"/>
      <c r="D636" s="178"/>
      <c r="E636" s="178"/>
      <c r="F636" s="178"/>
      <c r="G636" s="178"/>
      <c r="H636" s="178"/>
      <c r="I636" s="178"/>
      <c r="J636" s="178"/>
      <c r="K636" s="178"/>
      <c r="L636" s="178"/>
      <c r="M636" s="178"/>
      <c r="N636" s="178"/>
    </row>
    <row r="637" spans="1:34" ht="15.75" x14ac:dyDescent="0.25">
      <c r="A637" s="87" t="s">
        <v>75</v>
      </c>
      <c r="B637" s="62" t="s">
        <v>49</v>
      </c>
      <c r="C637" s="90" t="s">
        <v>87</v>
      </c>
      <c r="D637" s="62" t="s">
        <v>88</v>
      </c>
      <c r="E637" s="87" t="s">
        <v>86</v>
      </c>
      <c r="F637" s="62" t="s">
        <v>57</v>
      </c>
      <c r="G637" s="90" t="s">
        <v>103</v>
      </c>
      <c r="H637" s="62" t="s">
        <v>88</v>
      </c>
      <c r="I637" s="87" t="s">
        <v>77</v>
      </c>
      <c r="J637" s="62" t="s">
        <v>61</v>
      </c>
      <c r="K637" s="90" t="s">
        <v>78</v>
      </c>
      <c r="L637" s="62" t="s">
        <v>88</v>
      </c>
      <c r="M637" s="87" t="s">
        <v>76</v>
      </c>
      <c r="N637" s="62" t="s">
        <v>84</v>
      </c>
      <c r="O637" s="90" t="s">
        <v>102</v>
      </c>
      <c r="P637" s="62" t="s">
        <v>88</v>
      </c>
    </row>
    <row r="638" spans="1:34" ht="24.75" x14ac:dyDescent="0.25">
      <c r="A638" s="62" t="s">
        <v>51</v>
      </c>
      <c r="B638" s="86">
        <v>2.9465138194053318E-5</v>
      </c>
      <c r="C638" s="86">
        <f>AC623+1*L616</f>
        <v>89</v>
      </c>
      <c r="D638" s="86">
        <f>MAX(B638*1.5*((C638-F623)*500/2),0)</f>
        <v>0.14364254869600993</v>
      </c>
      <c r="E638" s="62" t="s">
        <v>55</v>
      </c>
      <c r="F638" s="86">
        <v>4.2017638159796044E-8</v>
      </c>
      <c r="G638" s="86">
        <f>AC624+2*L616</f>
        <v>170.66666666666669</v>
      </c>
      <c r="H638" s="86">
        <f>F638*1.5*((G638-F624)*500/2+(G638-F625)*500+(G638-F626)*500)</f>
        <v>4.905559255156189E-3</v>
      </c>
      <c r="I638" s="62" t="s">
        <v>59</v>
      </c>
      <c r="J638" s="86">
        <v>4.7837676602909339E-11</v>
      </c>
      <c r="K638" s="86">
        <f>AC625+3*L616</f>
        <v>245.66666666666669</v>
      </c>
      <c r="L638" s="86">
        <f>J638*1.5*((K638-G638)*500/2+(K638-G638)*500)</f>
        <v>4.0363039633704751E-6</v>
      </c>
      <c r="M638" s="62" t="s">
        <v>83</v>
      </c>
      <c r="N638" s="86">
        <v>3.1372135711824489E-14</v>
      </c>
      <c r="O638" s="86">
        <f>AC626+4*L616</f>
        <v>311.33333333333337</v>
      </c>
      <c r="P638" s="86">
        <f>N638*1.5*((O638-K638)*500/2)</f>
        <v>7.7253884190367833E-10</v>
      </c>
    </row>
    <row r="639" spans="1:34" ht="24.75" x14ac:dyDescent="0.25">
      <c r="A639" s="62" t="s">
        <v>52</v>
      </c>
      <c r="B639" s="86">
        <v>0.99997053486180598</v>
      </c>
      <c r="C639" s="88">
        <f>AC623</f>
        <v>77</v>
      </c>
      <c r="D639" s="86">
        <f>MAX(B639*1.5*((C639-F623)*500/2),0)</f>
        <v>374.98895057317725</v>
      </c>
      <c r="E639" s="62" t="s">
        <v>56</v>
      </c>
      <c r="F639" s="86">
        <v>1.4553930185270787E-3</v>
      </c>
      <c r="G639" s="86">
        <f>AC624+1*L616</f>
        <v>158.66666666666669</v>
      </c>
      <c r="H639" s="86">
        <f>F639*1.5*((G639-F624)*500/2+(G639-F625)*500+(G639-F626)*500)</f>
        <v>137.17079199617723</v>
      </c>
      <c r="I639" s="62" t="s">
        <v>60</v>
      </c>
      <c r="J639" s="86">
        <v>1.698955380816164E-6</v>
      </c>
      <c r="K639" s="86">
        <f>AC625+2*L616</f>
        <v>233.66666666666669</v>
      </c>
      <c r="L639" s="86">
        <f>J639*1.5*((K639-G639)*500/2+(K639-G639)*500)</f>
        <v>0.14334936025636383</v>
      </c>
      <c r="M639" s="62" t="s">
        <v>59</v>
      </c>
      <c r="N639" s="86">
        <v>1.112495399794756E-9</v>
      </c>
      <c r="O639" s="86">
        <f>AC626+3*L616</f>
        <v>299.33333333333337</v>
      </c>
      <c r="P639" s="86">
        <f>N639*1.5*((O639-K639)*500/2)</f>
        <v>2.7395199219945876E-5</v>
      </c>
    </row>
    <row r="640" spans="1:34" x14ac:dyDescent="0.25">
      <c r="A640" s="86"/>
      <c r="B640" s="86"/>
      <c r="C640" s="89" t="s">
        <v>89</v>
      </c>
      <c r="D640" s="89">
        <f>SUM(D638:D639)</f>
        <v>375.13259312187324</v>
      </c>
      <c r="E640" s="62" t="s">
        <v>52</v>
      </c>
      <c r="F640" s="86">
        <v>0.99854456496383481</v>
      </c>
      <c r="G640" s="86">
        <f>AC624+0*L616</f>
        <v>146.66666666666669</v>
      </c>
      <c r="H640" s="86">
        <f>F640*1.5*((G640-F624)*500/2+(G640-F625)*500+(G640-F626)*500)</f>
        <v>71645.572536155189</v>
      </c>
      <c r="I640" s="62" t="s">
        <v>56</v>
      </c>
      <c r="J640" s="86">
        <v>3.1008900304139127E-5</v>
      </c>
      <c r="K640" s="86">
        <f>AC625+1*L616</f>
        <v>221.66666666666669</v>
      </c>
      <c r="L640" s="86">
        <f>J640*1.5*((K640-G640)*500/2+(K640-G640)*500)</f>
        <v>2.6163759631617389</v>
      </c>
      <c r="M640" s="62" t="s">
        <v>60</v>
      </c>
      <c r="N640" s="86">
        <v>3.3967623506124059E-6</v>
      </c>
      <c r="O640" s="86">
        <f>AC626+2*L616</f>
        <v>287.33333333333337</v>
      </c>
      <c r="P640" s="86">
        <f>N640*1.5*((O640-K640)*500/2)</f>
        <v>8.3645272883830515E-2</v>
      </c>
    </row>
    <row r="641" spans="1:22" x14ac:dyDescent="0.25">
      <c r="A641" s="86"/>
      <c r="B641" s="86"/>
      <c r="C641" s="86"/>
      <c r="D641" s="86"/>
      <c r="E641" s="86"/>
      <c r="F641" s="86"/>
      <c r="G641" s="89" t="s">
        <v>79</v>
      </c>
      <c r="H641" s="89">
        <f>SUM(H638:H640)</f>
        <v>71782.748233710619</v>
      </c>
      <c r="I641" s="62" t="s">
        <v>52</v>
      </c>
      <c r="J641" s="86">
        <v>0.99740770782325339</v>
      </c>
      <c r="K641" s="86">
        <f>AC625+0*L616</f>
        <v>209.66666666666669</v>
      </c>
      <c r="L641" s="86">
        <f>J641*1.5*((K641-G640)*500/2+(K641-G640)*500)</f>
        <v>70691.271291973084</v>
      </c>
      <c r="M641" s="62" t="s">
        <v>56</v>
      </c>
      <c r="N641" s="86">
        <v>3.2429981343355912E-3</v>
      </c>
      <c r="O641" s="86">
        <f>AC626+1*L616</f>
        <v>275.33333333333337</v>
      </c>
      <c r="P641" s="86">
        <f>N641*1.5*((O641-K641)*500/2)</f>
        <v>79.858829058013953</v>
      </c>
    </row>
    <row r="642" spans="1:22" x14ac:dyDescent="0.25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9" t="s">
        <v>79</v>
      </c>
      <c r="L642" s="89">
        <f>SUM(L638:L641)</f>
        <v>70694.031021332805</v>
      </c>
      <c r="M642" s="62" t="s">
        <v>52</v>
      </c>
      <c r="N642" s="86">
        <v>0.99675360394129464</v>
      </c>
      <c r="O642" s="86">
        <f>AC626+0*L616</f>
        <v>263.33333333333337</v>
      </c>
      <c r="P642" s="86">
        <f>N642*1.5*((O642-K641)*500/2)</f>
        <v>20059.666279318561</v>
      </c>
      <c r="Q642" s="179" t="s">
        <v>80</v>
      </c>
      <c r="R642" s="179"/>
      <c r="S642" s="180">
        <f>D640+H641+L642+P643</f>
        <v>162991.52062921072</v>
      </c>
      <c r="T642" s="180"/>
    </row>
    <row r="643" spans="1:22" x14ac:dyDescent="0.25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9" t="s">
        <v>79</v>
      </c>
      <c r="P643" s="89">
        <f>SUM(P638:P642)</f>
        <v>20139.60878104543</v>
      </c>
      <c r="Q643" s="179"/>
      <c r="R643" s="179"/>
      <c r="S643" s="180"/>
      <c r="T643" s="180"/>
    </row>
    <row r="644" spans="1:22" x14ac:dyDescent="0.25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</row>
    <row r="645" spans="1:22" x14ac:dyDescent="0.25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</row>
    <row r="646" spans="1:22" x14ac:dyDescent="0.25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</row>
    <row r="647" spans="1:22" ht="24.75" thickBot="1" x14ac:dyDescent="0.3">
      <c r="O647" s="131" t="s">
        <v>81</v>
      </c>
      <c r="P647" s="131"/>
      <c r="Q647" s="131">
        <f>(R633+P633+M634+S642)/AC626</f>
        <v>1117.8429619455565</v>
      </c>
      <c r="R647" s="131"/>
    </row>
    <row r="648" spans="1:22" x14ac:dyDescent="0.25">
      <c r="A648" s="181" t="s">
        <v>122</v>
      </c>
      <c r="B648" s="182"/>
    </row>
    <row r="649" spans="1:22" ht="15.75" thickBot="1" x14ac:dyDescent="0.3">
      <c r="A649" s="183"/>
      <c r="B649" s="184"/>
    </row>
    <row r="650" spans="1:22" ht="21" x14ac:dyDescent="0.35">
      <c r="A650" s="185" t="s">
        <v>14</v>
      </c>
      <c r="B650" s="185"/>
      <c r="C650" s="165"/>
      <c r="D650" s="165"/>
      <c r="E650" s="165"/>
      <c r="F650" s="165"/>
      <c r="G650" s="165"/>
      <c r="H650" s="165"/>
      <c r="I650" s="165"/>
      <c r="J650" s="165"/>
      <c r="K650" s="165"/>
      <c r="L650" s="165"/>
      <c r="M650" s="165"/>
      <c r="O650" s="166" t="s">
        <v>72</v>
      </c>
      <c r="P650" s="166"/>
      <c r="Q650" s="166"/>
      <c r="R650" s="166"/>
      <c r="S650" s="166"/>
      <c r="T650" s="166"/>
      <c r="U650" s="166"/>
      <c r="V650" s="166"/>
    </row>
    <row r="651" spans="1:22" ht="36" x14ac:dyDescent="0.25">
      <c r="A651" s="4" t="s">
        <v>15</v>
      </c>
      <c r="B651" s="4" t="s">
        <v>16</v>
      </c>
      <c r="C651" s="4" t="s">
        <v>31</v>
      </c>
      <c r="D651" s="6" t="s">
        <v>17</v>
      </c>
      <c r="E651" s="6" t="s">
        <v>18</v>
      </c>
      <c r="F651" s="6" t="s">
        <v>19</v>
      </c>
      <c r="G651" s="6" t="s">
        <v>20</v>
      </c>
      <c r="H651" s="6" t="s">
        <v>21</v>
      </c>
      <c r="I651" s="6" t="s">
        <v>22</v>
      </c>
      <c r="J651" s="6" t="s">
        <v>23</v>
      </c>
      <c r="K651" s="6" t="s">
        <v>24</v>
      </c>
      <c r="L651" s="6" t="s">
        <v>25</v>
      </c>
      <c r="M651" s="6" t="s">
        <v>26</v>
      </c>
      <c r="N651" s="8"/>
      <c r="O651" s="167" t="s">
        <v>32</v>
      </c>
      <c r="P651" s="167" t="s">
        <v>35</v>
      </c>
      <c r="Q651" s="167" t="s">
        <v>66</v>
      </c>
      <c r="R651" s="99" t="s">
        <v>67</v>
      </c>
      <c r="S651" s="99" t="s">
        <v>68</v>
      </c>
      <c r="T651" s="167" t="s">
        <v>69</v>
      </c>
      <c r="U651" s="71" t="s">
        <v>33</v>
      </c>
      <c r="V651" s="99" t="s">
        <v>70</v>
      </c>
    </row>
    <row r="652" spans="1:22" x14ac:dyDescent="0.25">
      <c r="A652" s="3" t="s">
        <v>27</v>
      </c>
      <c r="B652" s="3">
        <v>0</v>
      </c>
      <c r="C652" s="3">
        <v>0.3</v>
      </c>
      <c r="D652" s="3">
        <v>243</v>
      </c>
      <c r="E652" s="3">
        <v>1.73</v>
      </c>
      <c r="F652" s="3">
        <v>5</v>
      </c>
      <c r="G652" s="169">
        <v>12</v>
      </c>
      <c r="H652" s="3">
        <v>1820</v>
      </c>
      <c r="I652" s="169">
        <v>19645</v>
      </c>
      <c r="J652" s="3">
        <v>20</v>
      </c>
      <c r="K652" s="3">
        <v>40</v>
      </c>
      <c r="L652" s="3">
        <v>500</v>
      </c>
      <c r="M652" s="3">
        <v>1000</v>
      </c>
      <c r="O652" s="168"/>
      <c r="P652" s="168"/>
      <c r="Q652" s="168"/>
      <c r="R652" s="72" t="s">
        <v>71</v>
      </c>
      <c r="S652" s="72" t="s">
        <v>71</v>
      </c>
      <c r="T652" s="168"/>
      <c r="U652" s="73">
        <v>500</v>
      </c>
      <c r="V652" s="3">
        <v>1.5</v>
      </c>
    </row>
    <row r="653" spans="1:22" x14ac:dyDescent="0.25">
      <c r="A653" s="3" t="s">
        <v>28</v>
      </c>
      <c r="B653" s="3">
        <v>0</v>
      </c>
      <c r="C653" s="3">
        <v>0.3</v>
      </c>
      <c r="D653" s="3">
        <v>254</v>
      </c>
      <c r="E653" s="3">
        <v>1.88</v>
      </c>
      <c r="F653" s="3">
        <v>3</v>
      </c>
      <c r="G653" s="170"/>
      <c r="H653" s="3">
        <v>2720</v>
      </c>
      <c r="I653" s="170"/>
      <c r="J653" s="5"/>
      <c r="K653" s="5"/>
      <c r="L653" s="5"/>
      <c r="M653" s="5"/>
      <c r="O653" s="74">
        <v>1</v>
      </c>
      <c r="P653" s="74">
        <v>106</v>
      </c>
      <c r="Q653" s="74">
        <v>110</v>
      </c>
      <c r="R653" s="74">
        <v>6</v>
      </c>
      <c r="S653" s="74">
        <v>5</v>
      </c>
      <c r="T653" s="74">
        <f>R653*$U$5/60+S653</f>
        <v>55</v>
      </c>
      <c r="U653" s="75"/>
    </row>
    <row r="654" spans="1:22" x14ac:dyDescent="0.25">
      <c r="A654" s="3" t="s">
        <v>29</v>
      </c>
      <c r="B654" s="3">
        <v>0</v>
      </c>
      <c r="C654" s="3">
        <v>0.3</v>
      </c>
      <c r="D654" s="3">
        <v>143</v>
      </c>
      <c r="E654" s="3">
        <v>2.4300000000000002</v>
      </c>
      <c r="F654" s="3">
        <v>8</v>
      </c>
      <c r="G654" s="170"/>
      <c r="H654" s="3">
        <v>3700</v>
      </c>
      <c r="I654" s="170"/>
      <c r="J654" s="5"/>
      <c r="K654" s="140" t="s">
        <v>73</v>
      </c>
      <c r="L654" s="141">
        <v>12</v>
      </c>
      <c r="M654" s="140" t="s">
        <v>74</v>
      </c>
      <c r="N654" s="141">
        <v>19645</v>
      </c>
      <c r="O654" s="74">
        <v>2</v>
      </c>
      <c r="P654" s="74">
        <v>76</v>
      </c>
      <c r="Q654" s="74">
        <v>40</v>
      </c>
      <c r="R654" s="74">
        <v>9</v>
      </c>
      <c r="S654" s="74">
        <v>2</v>
      </c>
      <c r="T654" s="74">
        <f t="shared" ref="T654:T656" si="68">R654*$U$5/60+S654</f>
        <v>77</v>
      </c>
      <c r="U654" s="75"/>
    </row>
    <row r="655" spans="1:22" x14ac:dyDescent="0.25">
      <c r="A655" s="3" t="s">
        <v>30</v>
      </c>
      <c r="B655" s="3">
        <v>0</v>
      </c>
      <c r="C655" s="3">
        <v>0.3</v>
      </c>
      <c r="D655" s="3">
        <v>449</v>
      </c>
      <c r="E655" s="3">
        <v>2.5299999999999998</v>
      </c>
      <c r="F655" s="3">
        <v>4</v>
      </c>
      <c r="G655" s="171"/>
      <c r="H655" s="3">
        <v>4320</v>
      </c>
      <c r="I655" s="171"/>
      <c r="J655" s="5"/>
      <c r="K655" s="140"/>
      <c r="L655" s="141"/>
      <c r="M655" s="140"/>
      <c r="N655" s="141"/>
      <c r="O655" s="74">
        <v>3</v>
      </c>
      <c r="P655" s="74">
        <v>95</v>
      </c>
      <c r="Q655" s="74">
        <v>67</v>
      </c>
      <c r="R655" s="74">
        <v>5</v>
      </c>
      <c r="S655" s="74">
        <v>4</v>
      </c>
      <c r="T655" s="74">
        <f t="shared" si="68"/>
        <v>45.666666666666664</v>
      </c>
      <c r="U655" s="75"/>
    </row>
    <row r="656" spans="1:22" ht="15.75" thickBo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O656" s="74">
        <v>4</v>
      </c>
      <c r="P656" s="74">
        <v>140</v>
      </c>
      <c r="Q656" s="94">
        <v>85</v>
      </c>
      <c r="R656" s="94">
        <v>8</v>
      </c>
      <c r="S656" s="94">
        <v>3</v>
      </c>
      <c r="T656" s="74">
        <f t="shared" si="68"/>
        <v>69.666666666666671</v>
      </c>
    </row>
    <row r="657" spans="1:34" ht="15" customHeight="1" x14ac:dyDescent="0.25">
      <c r="A657" s="142" t="s">
        <v>100</v>
      </c>
      <c r="B657" s="144" t="s">
        <v>129</v>
      </c>
      <c r="C657" s="144"/>
      <c r="D657" s="144"/>
      <c r="E657" s="144"/>
      <c r="F657" s="20" t="s">
        <v>27</v>
      </c>
      <c r="G657" s="20" t="s">
        <v>28</v>
      </c>
      <c r="H657" s="20" t="s">
        <v>29</v>
      </c>
      <c r="I657" s="20" t="s">
        <v>30</v>
      </c>
    </row>
    <row r="658" spans="1:34" ht="15.75" customHeight="1" thickBot="1" x14ac:dyDescent="0.3">
      <c r="A658" s="143"/>
      <c r="B658" s="145"/>
      <c r="C658" s="145"/>
      <c r="D658" s="145"/>
      <c r="E658" s="145"/>
      <c r="F658" s="20">
        <v>91</v>
      </c>
      <c r="G658" s="26">
        <v>91</v>
      </c>
      <c r="H658" s="26">
        <v>91</v>
      </c>
      <c r="I658" s="26">
        <v>91</v>
      </c>
    </row>
    <row r="659" spans="1:34" ht="15.75" customHeight="1" thickBot="1" x14ac:dyDescent="0.3">
      <c r="A659" s="143"/>
      <c r="B659" s="145"/>
      <c r="C659" s="145"/>
      <c r="D659" s="145"/>
      <c r="E659" s="145"/>
      <c r="F659" s="7"/>
      <c r="G659" s="146" t="s">
        <v>27</v>
      </c>
      <c r="H659" s="147"/>
      <c r="I659" s="147"/>
      <c r="J659" s="147"/>
      <c r="K659" s="148"/>
      <c r="L659" s="149" t="s">
        <v>28</v>
      </c>
      <c r="M659" s="150"/>
      <c r="N659" s="150"/>
      <c r="O659" s="150"/>
      <c r="P659" s="151"/>
      <c r="Q659" s="152" t="s">
        <v>29</v>
      </c>
      <c r="R659" s="153"/>
      <c r="S659" s="153"/>
      <c r="T659" s="153"/>
      <c r="U659" s="154"/>
      <c r="V659" s="155" t="s">
        <v>30</v>
      </c>
      <c r="W659" s="156"/>
      <c r="X659" s="156"/>
      <c r="Y659" s="156"/>
      <c r="Z659" s="157"/>
      <c r="AA659" s="158" t="s">
        <v>42</v>
      </c>
      <c r="AB659" s="159"/>
      <c r="AC659" s="160" t="s">
        <v>44</v>
      </c>
      <c r="AD659" s="162" t="s">
        <v>47</v>
      </c>
      <c r="AE659" s="163"/>
      <c r="AF659" s="163"/>
      <c r="AG659" s="164"/>
      <c r="AH659" s="138" t="s">
        <v>62</v>
      </c>
    </row>
    <row r="660" spans="1:34" ht="36.75" x14ac:dyDescent="0.25">
      <c r="A660" s="21" t="s">
        <v>32</v>
      </c>
      <c r="B660" s="22" t="s">
        <v>37</v>
      </c>
      <c r="C660" s="23" t="s">
        <v>33</v>
      </c>
      <c r="D660" s="22" t="s">
        <v>38</v>
      </c>
      <c r="E660" s="22" t="s">
        <v>34</v>
      </c>
      <c r="F660" s="25" t="s">
        <v>35</v>
      </c>
      <c r="G660" s="27" t="s">
        <v>39</v>
      </c>
      <c r="H660" s="10" t="s">
        <v>40</v>
      </c>
      <c r="I660" s="10" t="s">
        <v>45</v>
      </c>
      <c r="J660" s="10" t="s">
        <v>46</v>
      </c>
      <c r="K660" s="28" t="s">
        <v>41</v>
      </c>
      <c r="L660" s="30" t="s">
        <v>39</v>
      </c>
      <c r="M660" s="13" t="s">
        <v>40</v>
      </c>
      <c r="N660" s="13" t="s">
        <v>45</v>
      </c>
      <c r="O660" s="13" t="s">
        <v>46</v>
      </c>
      <c r="P660" s="31" t="s">
        <v>41</v>
      </c>
      <c r="Q660" s="33" t="s">
        <v>39</v>
      </c>
      <c r="R660" s="12" t="s">
        <v>40</v>
      </c>
      <c r="S660" s="12" t="s">
        <v>45</v>
      </c>
      <c r="T660" s="12" t="s">
        <v>46</v>
      </c>
      <c r="U660" s="34" t="s">
        <v>41</v>
      </c>
      <c r="V660" s="36" t="s">
        <v>39</v>
      </c>
      <c r="W660" s="11" t="s">
        <v>40</v>
      </c>
      <c r="X660" s="11" t="s">
        <v>45</v>
      </c>
      <c r="Y660" s="11" t="s">
        <v>46</v>
      </c>
      <c r="Z660" s="37" t="s">
        <v>41</v>
      </c>
      <c r="AA660" s="39" t="s">
        <v>41</v>
      </c>
      <c r="AB660" s="40" t="s">
        <v>43</v>
      </c>
      <c r="AC660" s="161"/>
      <c r="AD660" s="43" t="s">
        <v>27</v>
      </c>
      <c r="AE660" s="1" t="s">
        <v>28</v>
      </c>
      <c r="AF660" s="1" t="s">
        <v>29</v>
      </c>
      <c r="AG660" s="1" t="s">
        <v>30</v>
      </c>
      <c r="AH660" s="139"/>
    </row>
    <row r="661" spans="1:34" x14ac:dyDescent="0.25">
      <c r="A661" s="24">
        <v>2</v>
      </c>
      <c r="B661" s="9">
        <v>9</v>
      </c>
      <c r="C661" s="9">
        <v>500</v>
      </c>
      <c r="D661" s="9">
        <v>2</v>
      </c>
      <c r="E661" s="48">
        <f>B661*C661/60+D661</f>
        <v>77</v>
      </c>
      <c r="F661" s="100">
        <v>76</v>
      </c>
      <c r="G661" s="49">
        <f>B$5*(1-AD661*C$5)</f>
        <v>0</v>
      </c>
      <c r="H661" s="50">
        <f>G661+E661</f>
        <v>77</v>
      </c>
      <c r="I661" s="15">
        <f>(H661/D$5)^E$5</f>
        <v>0.13693992990275231</v>
      </c>
      <c r="J661" s="15">
        <f>(G661/D$5)^E$5</f>
        <v>0</v>
      </c>
      <c r="K661" s="29">
        <f>1-EXP(J661-I661)</f>
        <v>0.1279773929583623</v>
      </c>
      <c r="L661" s="51">
        <f>B$6*(1-AE661*C$6)</f>
        <v>0</v>
      </c>
      <c r="M661" s="52">
        <f>L661+E661</f>
        <v>77</v>
      </c>
      <c r="N661" s="17">
        <f>(M661/D$6)^E$6</f>
        <v>0.10605109964467559</v>
      </c>
      <c r="O661" s="17">
        <f>(L661/D$6)^E$6</f>
        <v>0</v>
      </c>
      <c r="P661" s="32">
        <f>1-EXP(O661-N661)</f>
        <v>0.10062131102974814</v>
      </c>
      <c r="Q661" s="53">
        <f>B$7*(1-AF661*C$7)</f>
        <v>0</v>
      </c>
      <c r="R661" s="54">
        <f>Q661+E661</f>
        <v>77</v>
      </c>
      <c r="S661" s="16">
        <f>(R661/D$7)^E$7</f>
        <v>0.2221804751105394</v>
      </c>
      <c r="T661" s="16">
        <f>(Q661/D$7)^E$7</f>
        <v>0</v>
      </c>
      <c r="U661" s="35">
        <f>1-EXP(T661-S661)</f>
        <v>0.19922916791162293</v>
      </c>
      <c r="V661" s="55">
        <f>B$8*(1-AG661*C$8)</f>
        <v>0</v>
      </c>
      <c r="W661" s="56">
        <f>V661+E661</f>
        <v>77</v>
      </c>
      <c r="X661" s="18">
        <f>(W661/D$8)^E$8</f>
        <v>1.1551497592884551E-2</v>
      </c>
      <c r="Y661" s="18">
        <f>(V661/D$8)^E$8</f>
        <v>0</v>
      </c>
      <c r="Z661" s="38">
        <f>1-EXP(Y661-X661)</f>
        <v>1.1485035204098715E-2</v>
      </c>
      <c r="AA661" s="41">
        <f>K661*P661*U661*Z661</f>
        <v>2.9465138194053318E-5</v>
      </c>
      <c r="AB661" s="42">
        <f>1-AA661</f>
        <v>0.99997053486180598</v>
      </c>
      <c r="AC661" s="47">
        <f>(AD661*F$5+AE661*F$6+AF661*F$7+AG661*F$8)+E661</f>
        <v>77</v>
      </c>
      <c r="AD661" s="43">
        <v>0</v>
      </c>
      <c r="AE661" s="1">
        <v>0</v>
      </c>
      <c r="AF661" s="1">
        <v>0</v>
      </c>
      <c r="AG661" s="1">
        <v>0</v>
      </c>
      <c r="AH661" s="74">
        <v>40</v>
      </c>
    </row>
    <row r="662" spans="1:34" x14ac:dyDescent="0.25">
      <c r="A662" s="76">
        <v>4</v>
      </c>
      <c r="B662" s="58">
        <v>8</v>
      </c>
      <c r="C662" s="9">
        <v>500</v>
      </c>
      <c r="D662" s="58">
        <v>3</v>
      </c>
      <c r="E662" s="48">
        <f t="shared" ref="E662:E664" si="69">B662*C662/60+D662</f>
        <v>69.666666666666671</v>
      </c>
      <c r="F662" s="100">
        <v>140</v>
      </c>
      <c r="G662" s="49">
        <f>H661*(1-AD662*C$5)</f>
        <v>77</v>
      </c>
      <c r="H662" s="50">
        <f>G662+E662</f>
        <v>146.66666666666669</v>
      </c>
      <c r="I662" s="15">
        <f>(H662/D$5)^E$5</f>
        <v>0.41749810283193062</v>
      </c>
      <c r="J662" s="15">
        <f>(G662/D$5)^E$5</f>
        <v>0.13693992990275231</v>
      </c>
      <c r="K662" s="29">
        <f>1-EXP(J662-I662)</f>
        <v>0.24463799885610593</v>
      </c>
      <c r="L662" s="51">
        <f>M661*(1-AE662*C$6)</f>
        <v>77</v>
      </c>
      <c r="M662" s="52">
        <f>L662+E662</f>
        <v>146.66666666666669</v>
      </c>
      <c r="N662" s="17">
        <f>(M662/D$6)^E$6</f>
        <v>0.35613584348340649</v>
      </c>
      <c r="O662" s="17">
        <f>(L662/D$6)^E$6</f>
        <v>0.10605109964467559</v>
      </c>
      <c r="P662" s="32">
        <f>1-EXP(O662-N662)</f>
        <v>0.2212652127001522</v>
      </c>
      <c r="Q662" s="53">
        <f>R661*(1-AF662*C$7)</f>
        <v>77</v>
      </c>
      <c r="R662" s="54">
        <f>Q662+E662</f>
        <v>146.66666666666669</v>
      </c>
      <c r="S662" s="16">
        <f>(R662/D$7)^E$7</f>
        <v>1.0634541830073496</v>
      </c>
      <c r="T662" s="16">
        <f>(Q662/D$7)^E$7</f>
        <v>0.2221804751105394</v>
      </c>
      <c r="U662" s="35">
        <f>1-EXP(T662-S662)</f>
        <v>0.56883899963352347</v>
      </c>
      <c r="V662" s="55">
        <f>W661*(1-AG662*C$8)</f>
        <v>77</v>
      </c>
      <c r="W662" s="56">
        <f>V662+E662</f>
        <v>146.66666666666669</v>
      </c>
      <c r="X662" s="18">
        <f>(W662/D$8)^E$8</f>
        <v>5.897056032024859E-2</v>
      </c>
      <c r="Y662" s="18">
        <f>(V662/D$8)^E$8</f>
        <v>1.1551497592884551E-2</v>
      </c>
      <c r="Z662" s="38">
        <f>1-EXP(Y662-X662)</f>
        <v>4.631234111296112E-2</v>
      </c>
      <c r="AA662" s="41">
        <f>K662*P662*U662*Z662</f>
        <v>1.4260119156093449E-3</v>
      </c>
      <c r="AB662" s="42">
        <f>1-AA662</f>
        <v>0.99857398808439068</v>
      </c>
      <c r="AC662" s="47">
        <f>AF662*F$7+E662+AC661</f>
        <v>146.66666666666669</v>
      </c>
      <c r="AD662" s="43">
        <v>0</v>
      </c>
      <c r="AE662" s="1">
        <v>0</v>
      </c>
      <c r="AF662" s="1">
        <v>0</v>
      </c>
      <c r="AG662" s="1">
        <v>0</v>
      </c>
      <c r="AH662" s="74">
        <v>85</v>
      </c>
    </row>
    <row r="663" spans="1:34" x14ac:dyDescent="0.25">
      <c r="A663" s="24">
        <v>3</v>
      </c>
      <c r="B663" s="9">
        <v>5</v>
      </c>
      <c r="C663" s="58">
        <v>500</v>
      </c>
      <c r="D663" s="58">
        <v>4</v>
      </c>
      <c r="E663" s="48">
        <f t="shared" si="69"/>
        <v>45.666666666666664</v>
      </c>
      <c r="F663" s="100">
        <v>95</v>
      </c>
      <c r="G663" s="68">
        <f>H662*(1-AD663*C$5)</f>
        <v>102.66666666666667</v>
      </c>
      <c r="H663" s="69">
        <f>G663+E663</f>
        <v>148.33333333333334</v>
      </c>
      <c r="I663" s="70">
        <f>(H663/D$5)^E$5</f>
        <v>0.42573974432201439</v>
      </c>
      <c r="J663" s="70">
        <f>(G663/D$5)^E$5</f>
        <v>0.22525483181366224</v>
      </c>
      <c r="K663" s="29">
        <f>1-EXP(J663-I663)</f>
        <v>0.18166616346248299</v>
      </c>
      <c r="L663" s="51">
        <f>M662*(1-AE663*C$6)</f>
        <v>102.66666666666667</v>
      </c>
      <c r="M663" s="52">
        <f>L663+E663</f>
        <v>148.33333333333334</v>
      </c>
      <c r="N663" s="17">
        <f>(M663/D$6)^E$6</f>
        <v>0.36378222468595994</v>
      </c>
      <c r="O663" s="17">
        <f>(L663/D$6)^E$6</f>
        <v>0.18213776408892768</v>
      </c>
      <c r="P663" s="32">
        <f>1-EXP(O663-N663)</f>
        <v>0.16610222876808511</v>
      </c>
      <c r="Q663" s="53">
        <f>R662*(1-AF663*C$7)</f>
        <v>102.66666666666667</v>
      </c>
      <c r="R663" s="54">
        <f>Q663+E663</f>
        <v>148.33333333333334</v>
      </c>
      <c r="S663" s="16">
        <f>(R663/D$7)^E$7</f>
        <v>1.0930590055302554</v>
      </c>
      <c r="T663" s="16">
        <f>(Q663/D$7)^E$7</f>
        <v>0.44699948326797367</v>
      </c>
      <c r="U663" s="35">
        <f>1-EXP(T663-S663)</f>
        <v>0.4758930551511471</v>
      </c>
      <c r="V663" s="55">
        <f>W662*(1-AG663*C$8)</f>
        <v>102.66666666666667</v>
      </c>
      <c r="W663" s="56">
        <f>V663+E663</f>
        <v>148.33333333333334</v>
      </c>
      <c r="X663" s="18">
        <f>(W663/D$8)^E$8</f>
        <v>6.0680731930468294E-2</v>
      </c>
      <c r="Y663" s="18">
        <f>(V663/D$8)^E$8</f>
        <v>2.3918464493037566E-2</v>
      </c>
      <c r="Z663" s="38">
        <f>1-EXP(Y663-X663)</f>
        <v>3.6094740219713151E-2</v>
      </c>
      <c r="AA663" s="41">
        <f>K663*P663*U663*Z663</f>
        <v>5.183257586130768E-4</v>
      </c>
      <c r="AB663" s="42">
        <f>1-AA663</f>
        <v>0.9994816742413869</v>
      </c>
      <c r="AC663" s="47">
        <f>(AF663*F$7)+E663+AC662</f>
        <v>200.33333333333334</v>
      </c>
      <c r="AD663" s="77">
        <v>1</v>
      </c>
      <c r="AE663" s="78">
        <v>1</v>
      </c>
      <c r="AF663" s="78">
        <v>1</v>
      </c>
      <c r="AG663" s="78">
        <v>1</v>
      </c>
      <c r="AH663" s="74">
        <v>67</v>
      </c>
    </row>
    <row r="664" spans="1:34" ht="15.75" thickBot="1" x14ac:dyDescent="0.3">
      <c r="A664" s="57">
        <v>1</v>
      </c>
      <c r="B664" s="58">
        <v>6</v>
      </c>
      <c r="C664" s="58">
        <v>500</v>
      </c>
      <c r="D664" s="9">
        <v>5</v>
      </c>
      <c r="E664" s="48">
        <f t="shared" si="69"/>
        <v>55</v>
      </c>
      <c r="F664" s="100">
        <v>106</v>
      </c>
      <c r="G664" s="68">
        <f>H663*(1-AD664*C$5)</f>
        <v>103.83333333333333</v>
      </c>
      <c r="H664" s="69">
        <f>G664+E664</f>
        <v>158.83333333333331</v>
      </c>
      <c r="I664" s="70">
        <f>(H664/D$5)^E$5</f>
        <v>0.47921477720274397</v>
      </c>
      <c r="J664" s="70">
        <f>(G664/D$5)^E$5</f>
        <v>0.22970148571490079</v>
      </c>
      <c r="K664" s="29">
        <f>1-EXP(J664-I664)</f>
        <v>0.22082007570005269</v>
      </c>
      <c r="L664" s="51">
        <f>M663*(1-AE664*C$6)</f>
        <v>103.83333333333333</v>
      </c>
      <c r="M664" s="52">
        <f>L664+E664</f>
        <v>158.83333333333331</v>
      </c>
      <c r="N664" s="17">
        <f>(M664/D$6)^E$6</f>
        <v>0.41369751790718035</v>
      </c>
      <c r="O664" s="17">
        <f>(L664/D$6)^E$6</f>
        <v>0.1860483358583474</v>
      </c>
      <c r="P664" s="32">
        <f>1-EXP(O664-N664)</f>
        <v>0.203596396486313</v>
      </c>
      <c r="Q664" s="53">
        <f>R663*(1-AF664*C$7)</f>
        <v>103.83333333333333</v>
      </c>
      <c r="R664" s="54">
        <f>Q664+E664</f>
        <v>158.83333333333331</v>
      </c>
      <c r="S664" s="16">
        <f>(R664/D$7)^E$7</f>
        <v>1.2906890901009902</v>
      </c>
      <c r="T664" s="16">
        <f>(Q664/D$7)^E$7</f>
        <v>0.45944321669949417</v>
      </c>
      <c r="U664" s="35">
        <f>1-EXP(T664-S664)</f>
        <v>0.56449363760856475</v>
      </c>
      <c r="V664" s="55">
        <f>W663*(1-AG664*C$8)</f>
        <v>103.83333333333333</v>
      </c>
      <c r="W664" s="56">
        <f>V664+E664</f>
        <v>158.83333333333331</v>
      </c>
      <c r="X664" s="18">
        <f>(W664/D$8)^E$8</f>
        <v>7.2143819670068277E-2</v>
      </c>
      <c r="Y664" s="18">
        <f>(V664/D$8)^E$8</f>
        <v>2.4612110249732123E-2</v>
      </c>
      <c r="Z664" s="38">
        <f>1-EXP(Y664-X664)</f>
        <v>4.6419764823286691E-2</v>
      </c>
      <c r="AA664" s="41">
        <f>K664*P664*U664*Z664</f>
        <v>1.1780687305505881E-3</v>
      </c>
      <c r="AB664" s="42">
        <f>1-AA664</f>
        <v>0.9988219312694494</v>
      </c>
      <c r="AC664" s="47">
        <f>(AF664*F$7)+E664+AC663</f>
        <v>263.33333333333337</v>
      </c>
      <c r="AD664" s="80">
        <v>1</v>
      </c>
      <c r="AE664" s="45">
        <v>1</v>
      </c>
      <c r="AF664" s="81">
        <v>1</v>
      </c>
      <c r="AG664" s="45">
        <v>1</v>
      </c>
      <c r="AH664" s="94">
        <v>110</v>
      </c>
    </row>
    <row r="665" spans="1:34" ht="18.75" x14ac:dyDescent="0.3">
      <c r="A665" s="132" t="s">
        <v>53</v>
      </c>
      <c r="B665" s="132"/>
      <c r="C665" s="132"/>
      <c r="D665" s="132"/>
      <c r="E665" s="132"/>
      <c r="F665" s="132"/>
      <c r="G665" s="132"/>
      <c r="H665" s="132"/>
      <c r="I665" s="132"/>
      <c r="J665" s="132"/>
      <c r="AG665" s="46"/>
    </row>
    <row r="666" spans="1:34" ht="15.75" x14ac:dyDescent="0.25">
      <c r="A666" s="19" t="s">
        <v>48</v>
      </c>
      <c r="B666" s="60" t="s">
        <v>49</v>
      </c>
      <c r="C666" s="61" t="s">
        <v>50</v>
      </c>
      <c r="D666" s="19" t="s">
        <v>82</v>
      </c>
      <c r="E666" s="60" t="s">
        <v>57</v>
      </c>
      <c r="F666" s="61" t="s">
        <v>50</v>
      </c>
      <c r="G666" s="19" t="s">
        <v>58</v>
      </c>
      <c r="H666" s="60" t="s">
        <v>61</v>
      </c>
      <c r="I666" s="61" t="s">
        <v>50</v>
      </c>
      <c r="J666" s="19" t="s">
        <v>54</v>
      </c>
      <c r="K666" s="83" t="s">
        <v>84</v>
      </c>
      <c r="L666" s="61" t="s">
        <v>50</v>
      </c>
      <c r="M666" s="61" t="s">
        <v>85</v>
      </c>
      <c r="O666" s="174" t="s">
        <v>64</v>
      </c>
      <c r="P666" s="174"/>
      <c r="Q666" s="175" t="s">
        <v>109</v>
      </c>
      <c r="R666" s="175"/>
    </row>
    <row r="667" spans="1:34" ht="24.75" x14ac:dyDescent="0.25">
      <c r="A667" s="61" t="s">
        <v>51</v>
      </c>
      <c r="B667" s="1">
        <f>AA661</f>
        <v>2.9465138194053318E-5</v>
      </c>
      <c r="C667" s="59">
        <f>MAX(AC661+1*L654-F661,0)</f>
        <v>13</v>
      </c>
      <c r="D667" s="62" t="s">
        <v>55</v>
      </c>
      <c r="E667" s="1">
        <f>AA661*AA662</f>
        <v>4.2017638159796044E-8</v>
      </c>
      <c r="F667" s="1">
        <f>MAX(AC662+2*L654-F662,0)</f>
        <v>30.666666666666686</v>
      </c>
      <c r="G667" s="62" t="s">
        <v>59</v>
      </c>
      <c r="H667" s="1">
        <f>AA661*AA662*AA663</f>
        <v>2.1778824174306049E-11</v>
      </c>
      <c r="I667" s="1">
        <f>AC663+3*L654-F663</f>
        <v>141.33333333333334</v>
      </c>
      <c r="J667" s="62" t="s">
        <v>83</v>
      </c>
      <c r="K667" s="1">
        <f>AA661*AA662*AA663*AA664</f>
        <v>2.5656951747909187E-14</v>
      </c>
      <c r="L667" s="1">
        <f>AC664+4*L654-F664</f>
        <v>205.33333333333337</v>
      </c>
      <c r="M667" s="1">
        <f>B667*C667*AH661+E667*F667*AH662+H667*I667*AH663+K667*L667*AH664</f>
        <v>1.5431604648161658E-2</v>
      </c>
      <c r="O667" s="1" t="s">
        <v>27</v>
      </c>
      <c r="P667" s="1">
        <f>2*H652</f>
        <v>3640</v>
      </c>
      <c r="Q667" s="1">
        <f>(K661*(1-P661)*(1-U661)*(1-Z661))+(P661*(1-K661)*(1-U661)*(1-Z661))+(U661*(1-K661)*(1-P661)*(1-Z661))+(Z661*(1-K661)*(1-P661)*(1-U661))</f>
        <v>0.32223571239848364</v>
      </c>
      <c r="R667" s="1">
        <f>Q667*(L$7*(J$5*K$5+L$5)+I$5)</f>
        <v>11357.197683484555</v>
      </c>
    </row>
    <row r="668" spans="1:34" ht="24.75" x14ac:dyDescent="0.25">
      <c r="A668" s="62" t="s">
        <v>52</v>
      </c>
      <c r="B668" s="1">
        <f>AB661</f>
        <v>0.99997053486180598</v>
      </c>
      <c r="C668" s="59">
        <f>MAX(AC661-F661,0)</f>
        <v>1</v>
      </c>
      <c r="D668" s="62" t="s">
        <v>56</v>
      </c>
      <c r="E668" s="1">
        <f>AA661*AB662+AA662*AB661</f>
        <v>1.4553930185270787E-3</v>
      </c>
      <c r="F668" s="1">
        <f>MAX(AC662+1*L654-F662,0)</f>
        <v>18.666666666666686</v>
      </c>
      <c r="G668" s="62" t="s">
        <v>60</v>
      </c>
      <c r="H668" s="1">
        <f>AA661*AA662*AB663+AA662*AA663*AB661+AA661*AA663*AB662</f>
        <v>7.9636354974384552E-7</v>
      </c>
      <c r="I668" s="1">
        <f>AC663+2*L654-F663</f>
        <v>129.33333333333334</v>
      </c>
      <c r="J668" s="62" t="s">
        <v>59</v>
      </c>
      <c r="K668">
        <f>AB661*AA662*AA663*AA664+AB662*AA661*AA663*AA664*+AB663*AA661*AA662*AA664+AB664*AA661*AA662*AA663</f>
        <v>8.9248370964656908E-10</v>
      </c>
      <c r="L668" s="1">
        <f>AC664+3*L654-F664</f>
        <v>193.33333333333337</v>
      </c>
      <c r="M668" s="1">
        <f>B668*C668*AH661+E668*F668*AH662+H668*I668*AH663+K668*L668*AH664</f>
        <v>42.314964719635142</v>
      </c>
      <c r="O668" s="1" t="s">
        <v>28</v>
      </c>
      <c r="P668" s="1">
        <f>2*H653</f>
        <v>5440</v>
      </c>
      <c r="Q668" s="1">
        <f t="shared" ref="Q668:Q670" si="70">(K662*(1-P662)*(1-U662)*(1-Z662))+(P662*(1-K662)*(1-U662)*(1-Z662))+(U662*(1-K662)*(1-P662)*(1-Z662))+(Z662*(1-K662)*(1-P662)*(1-U662))</f>
        <v>0.47791608162662924</v>
      </c>
      <c r="R668" s="1">
        <f t="shared" ref="R668:R670" si="71">Q668*(L$7*(J$5*K$5+L$5)+I$5)</f>
        <v>16844.152296930548</v>
      </c>
    </row>
    <row r="669" spans="1:34" ht="24.75" x14ac:dyDescent="0.25">
      <c r="A669" s="1"/>
      <c r="B669" s="1"/>
      <c r="C669" s="1"/>
      <c r="D669" s="62" t="s">
        <v>52</v>
      </c>
      <c r="E669" s="1">
        <f>AB661*AB662</f>
        <v>0.99854456496383481</v>
      </c>
      <c r="F669" s="59">
        <f>MAX(AC662-F662,0)</f>
        <v>6.6666666666666856</v>
      </c>
      <c r="G669" s="62" t="s">
        <v>56</v>
      </c>
      <c r="H669" s="1">
        <f>AA661*AB662*AB663+AA662*AB661*AB663*+AA663*AB661*AB662</f>
        <v>3.0145528441300511E-5</v>
      </c>
      <c r="I669" s="1">
        <f>AC663+1*L654-F663</f>
        <v>117.33333333333334</v>
      </c>
      <c r="J669" s="62" t="s">
        <v>60</v>
      </c>
      <c r="K669" s="1">
        <f>AA661*AA662*AB663*AB664 + AA661*AA663*AB662*AB664 + AA661*AA664*AB662*AB663 + AA662*AA663*AB661*AB664 + AA662*AA664*AB661*AB663 + AA663*AA664*AB661*AB662</f>
        <v>3.1188243333653373E-6</v>
      </c>
      <c r="L669" s="1">
        <f>AC664+2*L654-F664</f>
        <v>181.33333333333337</v>
      </c>
      <c r="M669" s="1">
        <f>B669*C669*AH661+E669*F669*AH662+H669*I669*AH663+K669*L669*AH664</f>
        <v>566.14111434313077</v>
      </c>
      <c r="O669" s="1" t="s">
        <v>29</v>
      </c>
      <c r="P669" s="1">
        <f>2*(F654*(J652*K652+L652)+H654)</f>
        <v>28200</v>
      </c>
      <c r="Q669" s="1">
        <f t="shared" si="70"/>
        <v>0.47114079015796229</v>
      </c>
      <c r="R669" s="1">
        <f t="shared" si="71"/>
        <v>16605.357149117383</v>
      </c>
    </row>
    <row r="670" spans="1:34" ht="24.75" x14ac:dyDescent="0.25">
      <c r="A670" s="1"/>
      <c r="B670" s="1"/>
      <c r="C670" s="1"/>
      <c r="D670" s="1"/>
      <c r="E670" s="1"/>
      <c r="F670" s="1"/>
      <c r="G670" s="62" t="s">
        <v>52</v>
      </c>
      <c r="H670" s="1">
        <f>AB661*AB662*AB663</f>
        <v>0.99802699359469094</v>
      </c>
      <c r="I670" s="63">
        <f>AC663-F663</f>
        <v>105.33333333333334</v>
      </c>
      <c r="J670" s="62" t="s">
        <v>56</v>
      </c>
      <c r="K670" s="1">
        <f>AA661*AB662*AB663*AB664+AA662*AB661*AB663*AB664+AA663*AB661*AB662*AB664+AA664*AB661*AB662*AB663</f>
        <v>3.1456310144252148E-3</v>
      </c>
      <c r="L670" s="1">
        <f>AC664+1*L654-F664</f>
        <v>169.33333333333337</v>
      </c>
      <c r="M670" s="1">
        <f>B670*C670*AH661+E670*F670*AH662+H670*I670*AH663+K670*L670*AH664</f>
        <v>7102.0017898242941</v>
      </c>
      <c r="O670" s="1" t="s">
        <v>30</v>
      </c>
      <c r="P670" s="1">
        <f>2*H655</f>
        <v>8640</v>
      </c>
      <c r="Q670" s="1">
        <f t="shared" si="70"/>
        <v>0.48549095650113577</v>
      </c>
      <c r="R670" s="1">
        <f t="shared" si="71"/>
        <v>17111.12876188253</v>
      </c>
    </row>
    <row r="671" spans="1:34" ht="30" x14ac:dyDescent="0.25">
      <c r="I671" s="84"/>
      <c r="J671" s="62" t="s">
        <v>52</v>
      </c>
      <c r="K671" s="85">
        <f>AB661*AB662*AB663*AB664</f>
        <v>0.99685124920129164</v>
      </c>
      <c r="L671" s="1">
        <f>AC664+0*L654-F664</f>
        <v>157.33333333333337</v>
      </c>
      <c r="M671" s="1">
        <f>B671*C671*AH661+E671*F671*AH662+H671*I671*AH663+K671*L671*AH664</f>
        <v>17252.172286177025</v>
      </c>
      <c r="O671" s="64" t="s">
        <v>65</v>
      </c>
      <c r="P671" s="65">
        <f>SUM(P667:P670)</f>
        <v>45920</v>
      </c>
      <c r="Q671" s="96" t="s">
        <v>108</v>
      </c>
      <c r="R671" s="97">
        <f>SUM(R667:R670)</f>
        <v>61917.835891415016</v>
      </c>
    </row>
    <row r="672" spans="1:34" x14ac:dyDescent="0.25">
      <c r="L672" s="176" t="s">
        <v>63</v>
      </c>
      <c r="M672" s="177">
        <f>SUM(M667:M671)</f>
        <v>24962.645586668732</v>
      </c>
    </row>
    <row r="673" spans="1:22" x14ac:dyDescent="0.25">
      <c r="L673" s="176"/>
      <c r="M673" s="177"/>
    </row>
    <row r="674" spans="1:22" x14ac:dyDescent="0.25">
      <c r="A674" s="178" t="s">
        <v>90</v>
      </c>
      <c r="B674" s="178"/>
      <c r="C674" s="178"/>
      <c r="D674" s="178"/>
      <c r="E674" s="178"/>
      <c r="F674" s="178"/>
      <c r="G674" s="178"/>
      <c r="H674" s="178"/>
      <c r="I674" s="178"/>
      <c r="J674" s="178"/>
      <c r="K674" s="178"/>
      <c r="L674" s="178"/>
      <c r="M674" s="178"/>
      <c r="N674" s="178"/>
    </row>
    <row r="675" spans="1:22" ht="15.75" x14ac:dyDescent="0.25">
      <c r="A675" s="87" t="s">
        <v>75</v>
      </c>
      <c r="B675" s="62" t="s">
        <v>49</v>
      </c>
      <c r="C675" s="90" t="s">
        <v>87</v>
      </c>
      <c r="D675" s="62" t="s">
        <v>88</v>
      </c>
      <c r="E675" s="87" t="s">
        <v>86</v>
      </c>
      <c r="F675" s="62" t="s">
        <v>57</v>
      </c>
      <c r="G675" s="90" t="s">
        <v>103</v>
      </c>
      <c r="H675" s="62" t="s">
        <v>88</v>
      </c>
      <c r="I675" s="87" t="s">
        <v>77</v>
      </c>
      <c r="J675" s="62" t="s">
        <v>61</v>
      </c>
      <c r="K675" s="90" t="s">
        <v>78</v>
      </c>
      <c r="L675" s="62" t="s">
        <v>88</v>
      </c>
      <c r="M675" s="87" t="s">
        <v>76</v>
      </c>
      <c r="N675" s="62" t="s">
        <v>84</v>
      </c>
      <c r="O675" s="90" t="s">
        <v>102</v>
      </c>
      <c r="P675" s="62" t="s">
        <v>88</v>
      </c>
    </row>
    <row r="676" spans="1:22" ht="24.75" x14ac:dyDescent="0.25">
      <c r="A676" s="62" t="s">
        <v>51</v>
      </c>
      <c r="B676" s="86">
        <v>2.9465138194053318E-5</v>
      </c>
      <c r="C676" s="86">
        <f>AC661+1*L654</f>
        <v>89</v>
      </c>
      <c r="D676" s="86">
        <f>MAX(B676*1.5*((C676-F661)*500/2),0)</f>
        <v>0.14364254869600993</v>
      </c>
      <c r="E676" s="62" t="s">
        <v>55</v>
      </c>
      <c r="F676" s="86">
        <v>4.2017638159796044E-8</v>
      </c>
      <c r="G676" s="86">
        <f>AC662+2*L654</f>
        <v>170.66666666666669</v>
      </c>
      <c r="H676" s="86">
        <f>F676*1.5*((G676-F662)*500/2+(G676-F663)*500+(G676-F664)*500)</f>
        <v>4.905559255156189E-3</v>
      </c>
      <c r="I676" s="62" t="s">
        <v>59</v>
      </c>
      <c r="J676" s="86">
        <v>2.1778824174306049E-11</v>
      </c>
      <c r="K676" s="86">
        <f>AC663+3*L654</f>
        <v>236.33333333333334</v>
      </c>
      <c r="L676" s="86">
        <f>J676*1.5*((K676-G676)*500/2+(K676-G676)*500)</f>
        <v>1.608910635876859E-6</v>
      </c>
      <c r="M676" s="62" t="s">
        <v>83</v>
      </c>
      <c r="N676" s="86">
        <v>2.5656951747909187E-14</v>
      </c>
      <c r="O676" s="86">
        <f>AC664+4*L654</f>
        <v>311.33333333333337</v>
      </c>
      <c r="P676" s="86">
        <f>N676*1.5*((O676-K676)*500/2)</f>
        <v>7.2160176790994609E-10</v>
      </c>
    </row>
    <row r="677" spans="1:22" ht="24.75" x14ac:dyDescent="0.25">
      <c r="A677" s="62" t="s">
        <v>52</v>
      </c>
      <c r="B677" s="86">
        <v>0.99997053486180598</v>
      </c>
      <c r="C677" s="88">
        <f>AC661</f>
        <v>77</v>
      </c>
      <c r="D677" s="86">
        <f>MAX(B677*1.5*((C677-F661)*500/2),0)</f>
        <v>374.98895057317725</v>
      </c>
      <c r="E677" s="62" t="s">
        <v>56</v>
      </c>
      <c r="F677" s="86">
        <v>1.4553930185270787E-3</v>
      </c>
      <c r="G677" s="86">
        <f>AC662+1*L654</f>
        <v>158.66666666666669</v>
      </c>
      <c r="H677" s="86">
        <f>F677*1.5*((G677-F662)*500/2+(G677-F663)*500+(G677-F664)*500)</f>
        <v>137.17079199617723</v>
      </c>
      <c r="I677" s="62" t="s">
        <v>60</v>
      </c>
      <c r="J677" s="86">
        <v>7.9636354974384552E-7</v>
      </c>
      <c r="K677" s="86">
        <f>AC663+2*L654</f>
        <v>224.33333333333334</v>
      </c>
      <c r="L677" s="86">
        <f>J677*1.5*((K677-G677)*500/2+(K677-G677)*500)</f>
        <v>5.8831357237326576E-2</v>
      </c>
      <c r="M677" s="62" t="s">
        <v>59</v>
      </c>
      <c r="N677" s="86">
        <v>8.9248370964656908E-10</v>
      </c>
      <c r="O677" s="86">
        <f>AC664+3*L654</f>
        <v>299.33333333333337</v>
      </c>
      <c r="P677" s="86">
        <f>N677*1.5*((O677-K677)*500/2)</f>
        <v>2.5101104333809766E-5</v>
      </c>
    </row>
    <row r="678" spans="1:22" x14ac:dyDescent="0.25">
      <c r="A678" s="86"/>
      <c r="B678" s="86"/>
      <c r="C678" s="89" t="s">
        <v>89</v>
      </c>
      <c r="D678" s="89">
        <f>SUM(D676:D677)</f>
        <v>375.13259312187324</v>
      </c>
      <c r="E678" s="62" t="s">
        <v>52</v>
      </c>
      <c r="F678" s="86">
        <v>0.99854456496383481</v>
      </c>
      <c r="G678" s="86">
        <f>AC662+0*L654</f>
        <v>146.66666666666669</v>
      </c>
      <c r="H678" s="86">
        <f>F678*1.5*((G678-F662)*500/2+(G678-F663)*500+(G678-F664)*500)</f>
        <v>71645.572536155189</v>
      </c>
      <c r="I678" s="62" t="s">
        <v>56</v>
      </c>
      <c r="J678" s="86">
        <v>3.0145528441300511E-5</v>
      </c>
      <c r="K678" s="86">
        <f>AC663+1*L654</f>
        <v>212.33333333333334</v>
      </c>
      <c r="L678" s="86">
        <f>J678*1.5*((K678-G678)*500/2+(K678-G678)*500)</f>
        <v>2.2270009136010747</v>
      </c>
      <c r="M678" s="62" t="s">
        <v>60</v>
      </c>
      <c r="N678" s="86">
        <v>3.1188243333653373E-6</v>
      </c>
      <c r="O678" s="86">
        <f>AC664+2*L654</f>
        <v>287.33333333333337</v>
      </c>
      <c r="P678" s="86">
        <f>N678*1.5*((O678-K678)*500/2)</f>
        <v>8.7716934375900141E-2</v>
      </c>
    </row>
    <row r="679" spans="1:22" x14ac:dyDescent="0.25">
      <c r="A679" s="86"/>
      <c r="B679" s="86"/>
      <c r="C679" s="86"/>
      <c r="D679" s="86"/>
      <c r="E679" s="86"/>
      <c r="F679" s="86"/>
      <c r="G679" s="89" t="s">
        <v>79</v>
      </c>
      <c r="H679" s="89">
        <f>SUM(H676:H678)</f>
        <v>71782.748233710619</v>
      </c>
      <c r="I679" s="62" t="s">
        <v>52</v>
      </c>
      <c r="J679" s="86">
        <v>0.99802699359469094</v>
      </c>
      <c r="K679" s="86">
        <f>AC663+0*L654</f>
        <v>200.33333333333334</v>
      </c>
      <c r="L679" s="86">
        <f>J679*1.5*((K679-F678)*500/2+(K679-G678)*500)</f>
        <v>114773.64897468453</v>
      </c>
      <c r="M679" s="62" t="s">
        <v>56</v>
      </c>
      <c r="N679" s="86">
        <v>3.1456310144252148E-3</v>
      </c>
      <c r="O679" s="86">
        <f>AC664+1*L654</f>
        <v>275.33333333333337</v>
      </c>
      <c r="P679" s="86">
        <f>N679*1.5*((O679-K679)*500/2)</f>
        <v>88.470872280709202</v>
      </c>
    </row>
    <row r="680" spans="1:22" x14ac:dyDescent="0.25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9" t="s">
        <v>79</v>
      </c>
      <c r="L680" s="89">
        <f>SUM(L676:L679)</f>
        <v>114775.93480856429</v>
      </c>
      <c r="M680" s="62" t="s">
        <v>52</v>
      </c>
      <c r="N680" s="86">
        <v>0.99685124920129164</v>
      </c>
      <c r="O680" s="86">
        <f>AC664+0*L654</f>
        <v>263.33333333333337</v>
      </c>
      <c r="P680" s="86">
        <f>N680*1.5*((O680-K679)*500/2)</f>
        <v>23550.610762380526</v>
      </c>
      <c r="Q680" s="179" t="s">
        <v>80</v>
      </c>
      <c r="R680" s="179"/>
      <c r="S680" s="180">
        <f>D678+H679+L680+P681</f>
        <v>210572.9850120942</v>
      </c>
      <c r="T680" s="180"/>
    </row>
    <row r="681" spans="1:22" x14ac:dyDescent="0.25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9" t="s">
        <v>79</v>
      </c>
      <c r="P681" s="89">
        <f>SUM(P676:P680)</f>
        <v>23639.169376697435</v>
      </c>
      <c r="Q681" s="179"/>
      <c r="R681" s="179"/>
      <c r="S681" s="180"/>
      <c r="T681" s="180"/>
    </row>
    <row r="682" spans="1:22" x14ac:dyDescent="0.25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</row>
    <row r="683" spans="1:22" x14ac:dyDescent="0.25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</row>
    <row r="684" spans="1:22" x14ac:dyDescent="0.25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</row>
    <row r="685" spans="1:22" ht="24.75" thickBot="1" x14ac:dyDescent="0.3">
      <c r="O685" s="131" t="s">
        <v>81</v>
      </c>
      <c r="P685" s="131"/>
      <c r="Q685" s="131">
        <f>(R671+P671+M672+S680)/AC664</f>
        <v>1303.9498727475111</v>
      </c>
      <c r="R685" s="131"/>
    </row>
    <row r="686" spans="1:22" x14ac:dyDescent="0.25">
      <c r="A686" s="181" t="s">
        <v>123</v>
      </c>
      <c r="B686" s="182"/>
    </row>
    <row r="687" spans="1:22" ht="15.75" thickBot="1" x14ac:dyDescent="0.3">
      <c r="A687" s="183"/>
      <c r="B687" s="184"/>
    </row>
    <row r="688" spans="1:22" ht="21" x14ac:dyDescent="0.35">
      <c r="A688" s="185" t="s">
        <v>14</v>
      </c>
      <c r="B688" s="185"/>
      <c r="C688" s="165"/>
      <c r="D688" s="165"/>
      <c r="E688" s="165"/>
      <c r="F688" s="165"/>
      <c r="G688" s="165"/>
      <c r="H688" s="165"/>
      <c r="I688" s="165"/>
      <c r="J688" s="165"/>
      <c r="K688" s="165"/>
      <c r="L688" s="165"/>
      <c r="M688" s="165"/>
      <c r="O688" s="166" t="s">
        <v>72</v>
      </c>
      <c r="P688" s="166"/>
      <c r="Q688" s="166"/>
      <c r="R688" s="166"/>
      <c r="S688" s="166"/>
      <c r="T688" s="166"/>
      <c r="U688" s="166"/>
      <c r="V688" s="166"/>
    </row>
    <row r="689" spans="1:34" ht="36" x14ac:dyDescent="0.25">
      <c r="A689" s="4" t="s">
        <v>15</v>
      </c>
      <c r="B689" s="4" t="s">
        <v>16</v>
      </c>
      <c r="C689" s="4" t="s">
        <v>31</v>
      </c>
      <c r="D689" s="6" t="s">
        <v>17</v>
      </c>
      <c r="E689" s="6" t="s">
        <v>18</v>
      </c>
      <c r="F689" s="6" t="s">
        <v>19</v>
      </c>
      <c r="G689" s="6" t="s">
        <v>20</v>
      </c>
      <c r="H689" s="6" t="s">
        <v>21</v>
      </c>
      <c r="I689" s="6" t="s">
        <v>22</v>
      </c>
      <c r="J689" s="6" t="s">
        <v>23</v>
      </c>
      <c r="K689" s="6" t="s">
        <v>24</v>
      </c>
      <c r="L689" s="6" t="s">
        <v>25</v>
      </c>
      <c r="M689" s="6" t="s">
        <v>26</v>
      </c>
      <c r="N689" s="8"/>
      <c r="O689" s="167" t="s">
        <v>32</v>
      </c>
      <c r="P689" s="167" t="s">
        <v>35</v>
      </c>
      <c r="Q689" s="167" t="s">
        <v>66</v>
      </c>
      <c r="R689" s="99" t="s">
        <v>67</v>
      </c>
      <c r="S689" s="99" t="s">
        <v>68</v>
      </c>
      <c r="T689" s="167" t="s">
        <v>69</v>
      </c>
      <c r="U689" s="71" t="s">
        <v>33</v>
      </c>
      <c r="V689" s="99" t="s">
        <v>70</v>
      </c>
    </row>
    <row r="690" spans="1:34" x14ac:dyDescent="0.25">
      <c r="A690" s="3" t="s">
        <v>27</v>
      </c>
      <c r="B690" s="3">
        <v>0</v>
      </c>
      <c r="C690" s="3">
        <v>0.3</v>
      </c>
      <c r="D690" s="3">
        <v>243</v>
      </c>
      <c r="E690" s="3">
        <v>1.73</v>
      </c>
      <c r="F690" s="3">
        <v>5</v>
      </c>
      <c r="G690" s="169">
        <v>12</v>
      </c>
      <c r="H690" s="3">
        <v>1820</v>
      </c>
      <c r="I690" s="169">
        <v>19645</v>
      </c>
      <c r="J690" s="3">
        <v>20</v>
      </c>
      <c r="K690" s="3">
        <v>40</v>
      </c>
      <c r="L690" s="3">
        <v>500</v>
      </c>
      <c r="M690" s="3">
        <v>1000</v>
      </c>
      <c r="O690" s="168"/>
      <c r="P690" s="168"/>
      <c r="Q690" s="168"/>
      <c r="R690" s="72" t="s">
        <v>71</v>
      </c>
      <c r="S690" s="72" t="s">
        <v>71</v>
      </c>
      <c r="T690" s="168"/>
      <c r="U690" s="73">
        <v>500</v>
      </c>
      <c r="V690" s="3">
        <v>1.5</v>
      </c>
    </row>
    <row r="691" spans="1:34" x14ac:dyDescent="0.25">
      <c r="A691" s="3" t="s">
        <v>28</v>
      </c>
      <c r="B691" s="3">
        <v>0</v>
      </c>
      <c r="C691" s="3">
        <v>0.3</v>
      </c>
      <c r="D691" s="3">
        <v>254</v>
      </c>
      <c r="E691" s="3">
        <v>1.88</v>
      </c>
      <c r="F691" s="3">
        <v>3</v>
      </c>
      <c r="G691" s="170"/>
      <c r="H691" s="3">
        <v>2720</v>
      </c>
      <c r="I691" s="170"/>
      <c r="J691" s="5"/>
      <c r="K691" s="5"/>
      <c r="L691" s="5"/>
      <c r="M691" s="5"/>
      <c r="O691" s="74">
        <v>1</v>
      </c>
      <c r="P691" s="74">
        <v>106</v>
      </c>
      <c r="Q691" s="74">
        <v>110</v>
      </c>
      <c r="R691" s="74">
        <v>6</v>
      </c>
      <c r="S691" s="74">
        <v>5</v>
      </c>
      <c r="T691" s="74">
        <f>R691*$U$5/60+S691</f>
        <v>55</v>
      </c>
      <c r="U691" s="75"/>
    </row>
    <row r="692" spans="1:34" x14ac:dyDescent="0.25">
      <c r="A692" s="3" t="s">
        <v>29</v>
      </c>
      <c r="B692" s="3">
        <v>0</v>
      </c>
      <c r="C692" s="3">
        <v>0.3</v>
      </c>
      <c r="D692" s="3">
        <v>143</v>
      </c>
      <c r="E692" s="3">
        <v>2.4300000000000002</v>
      </c>
      <c r="F692" s="3">
        <v>8</v>
      </c>
      <c r="G692" s="170"/>
      <c r="H692" s="3">
        <v>3700</v>
      </c>
      <c r="I692" s="170"/>
      <c r="J692" s="5"/>
      <c r="K692" s="140" t="s">
        <v>73</v>
      </c>
      <c r="L692" s="141">
        <v>12</v>
      </c>
      <c r="M692" s="140" t="s">
        <v>74</v>
      </c>
      <c r="N692" s="141">
        <v>19645</v>
      </c>
      <c r="O692" s="74">
        <v>2</v>
      </c>
      <c r="P692" s="74">
        <v>76</v>
      </c>
      <c r="Q692" s="74">
        <v>40</v>
      </c>
      <c r="R692" s="74">
        <v>9</v>
      </c>
      <c r="S692" s="74">
        <v>2</v>
      </c>
      <c r="T692" s="74">
        <f t="shared" ref="T692:T694" si="72">R692*$U$5/60+S692</f>
        <v>77</v>
      </c>
      <c r="U692" s="75"/>
    </row>
    <row r="693" spans="1:34" x14ac:dyDescent="0.25">
      <c r="A693" s="3" t="s">
        <v>30</v>
      </c>
      <c r="B693" s="3">
        <v>0</v>
      </c>
      <c r="C693" s="3">
        <v>0.3</v>
      </c>
      <c r="D693" s="3">
        <v>449</v>
      </c>
      <c r="E693" s="3">
        <v>2.5299999999999998</v>
      </c>
      <c r="F693" s="3">
        <v>4</v>
      </c>
      <c r="G693" s="171"/>
      <c r="H693" s="3">
        <v>4320</v>
      </c>
      <c r="I693" s="171"/>
      <c r="J693" s="5"/>
      <c r="K693" s="140"/>
      <c r="L693" s="141"/>
      <c r="M693" s="140"/>
      <c r="N693" s="141"/>
      <c r="O693" s="74">
        <v>3</v>
      </c>
      <c r="P693" s="74">
        <v>95</v>
      </c>
      <c r="Q693" s="74">
        <v>67</v>
      </c>
      <c r="R693" s="74">
        <v>5</v>
      </c>
      <c r="S693" s="74">
        <v>4</v>
      </c>
      <c r="T693" s="74">
        <f t="shared" si="72"/>
        <v>45.666666666666664</v>
      </c>
      <c r="U693" s="75"/>
    </row>
    <row r="694" spans="1:34" ht="15.75" thickBo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O694" s="74">
        <v>4</v>
      </c>
      <c r="P694" s="74">
        <v>140</v>
      </c>
      <c r="Q694" s="94">
        <v>85</v>
      </c>
      <c r="R694" s="94">
        <v>8</v>
      </c>
      <c r="S694" s="94">
        <v>3</v>
      </c>
      <c r="T694" s="74">
        <f t="shared" si="72"/>
        <v>69.666666666666671</v>
      </c>
    </row>
    <row r="695" spans="1:34" ht="15" customHeight="1" x14ac:dyDescent="0.25">
      <c r="A695" s="142" t="s">
        <v>100</v>
      </c>
      <c r="B695" s="144" t="s">
        <v>129</v>
      </c>
      <c r="C695" s="144"/>
      <c r="D695" s="144"/>
      <c r="E695" s="144"/>
      <c r="F695" s="20" t="s">
        <v>27</v>
      </c>
      <c r="G695" s="20" t="s">
        <v>28</v>
      </c>
      <c r="H695" s="20" t="s">
        <v>29</v>
      </c>
      <c r="I695" s="20" t="s">
        <v>30</v>
      </c>
    </row>
    <row r="696" spans="1:34" ht="15.75" customHeight="1" thickBot="1" x14ac:dyDescent="0.3">
      <c r="A696" s="143"/>
      <c r="B696" s="145"/>
      <c r="C696" s="145"/>
      <c r="D696" s="145"/>
      <c r="E696" s="145"/>
      <c r="F696" s="20">
        <v>91</v>
      </c>
      <c r="G696" s="26">
        <v>91</v>
      </c>
      <c r="H696" s="26">
        <v>91</v>
      </c>
      <c r="I696" s="26">
        <v>91</v>
      </c>
    </row>
    <row r="697" spans="1:34" ht="15.75" customHeight="1" thickBot="1" x14ac:dyDescent="0.3">
      <c r="A697" s="143"/>
      <c r="B697" s="145"/>
      <c r="C697" s="145"/>
      <c r="D697" s="145"/>
      <c r="E697" s="145"/>
      <c r="F697" s="7"/>
      <c r="G697" s="146" t="s">
        <v>27</v>
      </c>
      <c r="H697" s="147"/>
      <c r="I697" s="147"/>
      <c r="J697" s="147"/>
      <c r="K697" s="148"/>
      <c r="L697" s="149" t="s">
        <v>28</v>
      </c>
      <c r="M697" s="150"/>
      <c r="N697" s="150"/>
      <c r="O697" s="150"/>
      <c r="P697" s="151"/>
      <c r="Q697" s="152" t="s">
        <v>29</v>
      </c>
      <c r="R697" s="153"/>
      <c r="S697" s="153"/>
      <c r="T697" s="153"/>
      <c r="U697" s="154"/>
      <c r="V697" s="155" t="s">
        <v>30</v>
      </c>
      <c r="W697" s="156"/>
      <c r="X697" s="156"/>
      <c r="Y697" s="156"/>
      <c r="Z697" s="157"/>
      <c r="AA697" s="158" t="s">
        <v>42</v>
      </c>
      <c r="AB697" s="159"/>
      <c r="AC697" s="160" t="s">
        <v>44</v>
      </c>
      <c r="AD697" s="162" t="s">
        <v>47</v>
      </c>
      <c r="AE697" s="163"/>
      <c r="AF697" s="163"/>
      <c r="AG697" s="164"/>
      <c r="AH697" s="138" t="s">
        <v>62</v>
      </c>
    </row>
    <row r="698" spans="1:34" ht="36.75" x14ac:dyDescent="0.25">
      <c r="A698" s="21" t="s">
        <v>32</v>
      </c>
      <c r="B698" s="22" t="s">
        <v>37</v>
      </c>
      <c r="C698" s="23" t="s">
        <v>33</v>
      </c>
      <c r="D698" s="22" t="s">
        <v>38</v>
      </c>
      <c r="E698" s="22" t="s">
        <v>34</v>
      </c>
      <c r="F698" s="25" t="s">
        <v>35</v>
      </c>
      <c r="G698" s="27" t="s">
        <v>39</v>
      </c>
      <c r="H698" s="10" t="s">
        <v>40</v>
      </c>
      <c r="I698" s="10" t="s">
        <v>45</v>
      </c>
      <c r="J698" s="10" t="s">
        <v>46</v>
      </c>
      <c r="K698" s="28" t="s">
        <v>41</v>
      </c>
      <c r="L698" s="30" t="s">
        <v>39</v>
      </c>
      <c r="M698" s="13" t="s">
        <v>40</v>
      </c>
      <c r="N698" s="13" t="s">
        <v>45</v>
      </c>
      <c r="O698" s="13" t="s">
        <v>46</v>
      </c>
      <c r="P698" s="31" t="s">
        <v>41</v>
      </c>
      <c r="Q698" s="33" t="s">
        <v>39</v>
      </c>
      <c r="R698" s="12" t="s">
        <v>40</v>
      </c>
      <c r="S698" s="12" t="s">
        <v>45</v>
      </c>
      <c r="T698" s="12" t="s">
        <v>46</v>
      </c>
      <c r="U698" s="34" t="s">
        <v>41</v>
      </c>
      <c r="V698" s="36" t="s">
        <v>39</v>
      </c>
      <c r="W698" s="11" t="s">
        <v>40</v>
      </c>
      <c r="X698" s="11" t="s">
        <v>45</v>
      </c>
      <c r="Y698" s="11" t="s">
        <v>46</v>
      </c>
      <c r="Z698" s="37" t="s">
        <v>41</v>
      </c>
      <c r="AA698" s="39" t="s">
        <v>41</v>
      </c>
      <c r="AB698" s="40" t="s">
        <v>43</v>
      </c>
      <c r="AC698" s="161"/>
      <c r="AD698" s="43" t="s">
        <v>27</v>
      </c>
      <c r="AE698" s="1" t="s">
        <v>28</v>
      </c>
      <c r="AF698" s="1" t="s">
        <v>29</v>
      </c>
      <c r="AG698" s="1" t="s">
        <v>30</v>
      </c>
      <c r="AH698" s="139"/>
    </row>
    <row r="699" spans="1:34" x14ac:dyDescent="0.25">
      <c r="A699" s="24">
        <v>4</v>
      </c>
      <c r="B699" s="9">
        <v>8</v>
      </c>
      <c r="C699" s="9">
        <v>500</v>
      </c>
      <c r="D699" s="9">
        <v>3</v>
      </c>
      <c r="E699" s="48">
        <f>B699*C699/60+D699</f>
        <v>69.666666666666671</v>
      </c>
      <c r="F699" s="100">
        <v>140</v>
      </c>
      <c r="G699" s="49">
        <f>B$5*(1-AD699*C$5)</f>
        <v>0</v>
      </c>
      <c r="H699" s="50">
        <f>G699+E699</f>
        <v>69.666666666666671</v>
      </c>
      <c r="I699" s="15">
        <f>(H699/D$5)^E$5</f>
        <v>0.11516869637804684</v>
      </c>
      <c r="J699" s="15">
        <f>(G699/D$5)^E$5</f>
        <v>0</v>
      </c>
      <c r="K699" s="29">
        <f>1-EXP(J699-I699)</f>
        <v>0.10878421365041502</v>
      </c>
      <c r="L699" s="51">
        <f>B$6*(1-AE699*C$6)</f>
        <v>0</v>
      </c>
      <c r="M699" s="52">
        <f>L699+E699</f>
        <v>69.666666666666671</v>
      </c>
      <c r="N699" s="17">
        <f>(M699/D$6)^E$6</f>
        <v>8.7861714115895329E-2</v>
      </c>
      <c r="O699" s="17">
        <f>(L699/D$6)^E$6</f>
        <v>0</v>
      </c>
      <c r="P699" s="32">
        <f>1-EXP(O699-N699)</f>
        <v>8.4112477717763534E-2</v>
      </c>
      <c r="Q699" s="53">
        <f>B$7*(1-AF699*C$7)</f>
        <v>0</v>
      </c>
      <c r="R699" s="54">
        <f>Q699+E699</f>
        <v>69.666666666666671</v>
      </c>
      <c r="S699" s="16">
        <f>(R699/D$7)^E$7</f>
        <v>0.17421448251746105</v>
      </c>
      <c r="T699" s="16">
        <f>(Q699/D$7)^E$7</f>
        <v>0</v>
      </c>
      <c r="U699" s="35">
        <f>1-EXP(T699-S699)</f>
        <v>0.15988331200899064</v>
      </c>
      <c r="V699" s="55">
        <f>B$8*(1-AG699*C$8)</f>
        <v>0</v>
      </c>
      <c r="W699" s="56">
        <f>V699+E699</f>
        <v>69.666666666666671</v>
      </c>
      <c r="X699" s="18">
        <f>(W699/D$8)^E$8</f>
        <v>8.9674731846197935E-3</v>
      </c>
      <c r="Y699" s="18">
        <f>(V699/D$8)^E$8</f>
        <v>0</v>
      </c>
      <c r="Z699" s="38">
        <f>1-EXP(Y699-X699)</f>
        <v>8.9273853154187011E-3</v>
      </c>
      <c r="AA699" s="41">
        <f>K699*P699*U699*Z699</f>
        <v>1.3060317021926209E-5</v>
      </c>
      <c r="AB699" s="42">
        <f>1-AA699</f>
        <v>0.99998693968297803</v>
      </c>
      <c r="AC699" s="47">
        <f>(AD699*F$5+AE699*F$6+AF699*F$7+AG699*F$8)+E699</f>
        <v>69.666666666666671</v>
      </c>
      <c r="AD699" s="43">
        <v>0</v>
      </c>
      <c r="AE699" s="1">
        <v>0</v>
      </c>
      <c r="AF699" s="1">
        <v>0</v>
      </c>
      <c r="AG699" s="1">
        <v>0</v>
      </c>
      <c r="AH699" s="74">
        <v>85</v>
      </c>
    </row>
    <row r="700" spans="1:34" x14ac:dyDescent="0.25">
      <c r="A700" s="76">
        <v>1</v>
      </c>
      <c r="B700" s="58">
        <v>6</v>
      </c>
      <c r="C700" s="9">
        <v>500</v>
      </c>
      <c r="D700" s="58">
        <v>5</v>
      </c>
      <c r="E700" s="48">
        <f t="shared" ref="E700:E702" si="73">B700*C700/60+D700</f>
        <v>55</v>
      </c>
      <c r="F700" s="100">
        <v>106</v>
      </c>
      <c r="G700" s="49">
        <f>H699*(1-AD700*C$5)</f>
        <v>69.666666666666671</v>
      </c>
      <c r="H700" s="50">
        <f>G700+E700</f>
        <v>124.66666666666667</v>
      </c>
      <c r="I700" s="15">
        <f>(H700/D$5)^E$5</f>
        <v>0.31517317577772647</v>
      </c>
      <c r="J700" s="15">
        <f>(G700/D$5)^E$5</f>
        <v>0.11516869637804684</v>
      </c>
      <c r="K700" s="29">
        <f>1-EXP(J700-I700)</f>
        <v>0.18127291433607728</v>
      </c>
      <c r="L700" s="51">
        <f>M699*(1-AE700*C$6)</f>
        <v>69.666666666666671</v>
      </c>
      <c r="M700" s="52">
        <f>L700+E700</f>
        <v>124.66666666666667</v>
      </c>
      <c r="N700" s="17">
        <f>(M700/D$6)^E$6</f>
        <v>0.26237549202961352</v>
      </c>
      <c r="O700" s="17">
        <f>(L700/D$6)^E$6</f>
        <v>8.7861714115895329E-2</v>
      </c>
      <c r="P700" s="32">
        <f>1-EXP(O700-N700)</f>
        <v>0.16013471744190411</v>
      </c>
      <c r="Q700" s="53">
        <f>R699*(1-AF700*C$7)</f>
        <v>69.666666666666671</v>
      </c>
      <c r="R700" s="54">
        <f>Q700+E700</f>
        <v>124.66666666666667</v>
      </c>
      <c r="S700" s="16">
        <f>(R700/D$7)^E$7</f>
        <v>0.71648445673009076</v>
      </c>
      <c r="T700" s="16">
        <f>(Q700/D$7)^E$7</f>
        <v>0.17421448251746105</v>
      </c>
      <c r="U700" s="35">
        <f>1-EXP(T700-S700)</f>
        <v>0.41857307087912443</v>
      </c>
      <c r="V700" s="55">
        <f>W699*(1-AG700*C$8)</f>
        <v>69.666666666666671</v>
      </c>
      <c r="W700" s="56">
        <f>V700+E700</f>
        <v>124.66666666666667</v>
      </c>
      <c r="X700" s="18">
        <f>(W700/D$8)^E$8</f>
        <v>3.9089951931753103E-2</v>
      </c>
      <c r="Y700" s="18">
        <f>(V700/D$8)^E$8</f>
        <v>8.9674731846197935E-3</v>
      </c>
      <c r="Z700" s="38">
        <f>1-EXP(Y700-X700)</f>
        <v>2.967331812605134E-2</v>
      </c>
      <c r="AA700" s="41">
        <f>K700*P700*U700*Z700</f>
        <v>3.6054195704698238E-4</v>
      </c>
      <c r="AB700" s="42">
        <f>1-AA700</f>
        <v>0.99963945804295307</v>
      </c>
      <c r="AC700" s="47">
        <f>AF700*F$7+E700+AC699</f>
        <v>124.66666666666667</v>
      </c>
      <c r="AD700" s="43">
        <v>0</v>
      </c>
      <c r="AE700" s="1">
        <v>0</v>
      </c>
      <c r="AF700" s="1">
        <v>0</v>
      </c>
      <c r="AG700" s="1">
        <v>0</v>
      </c>
      <c r="AH700" s="74">
        <v>110</v>
      </c>
    </row>
    <row r="701" spans="1:34" x14ac:dyDescent="0.25">
      <c r="A701" s="24">
        <v>2</v>
      </c>
      <c r="B701" s="9">
        <v>9</v>
      </c>
      <c r="C701" s="58">
        <v>500</v>
      </c>
      <c r="D701" s="58">
        <v>2</v>
      </c>
      <c r="E701" s="48">
        <f t="shared" si="73"/>
        <v>77</v>
      </c>
      <c r="F701" s="100">
        <v>76</v>
      </c>
      <c r="G701" s="68">
        <f>H700*(1-AD701*C$5)</f>
        <v>87.266666666666666</v>
      </c>
      <c r="H701" s="69">
        <f>G701+E701</f>
        <v>164.26666666666665</v>
      </c>
      <c r="I701" s="70">
        <f>(H701/D$5)^E$5</f>
        <v>0.50792745169025055</v>
      </c>
      <c r="J701" s="70">
        <f>(G701/D$5)^E$5</f>
        <v>0.17004695403506842</v>
      </c>
      <c r="K701" s="29">
        <f>1-EXP(J701-I701)</f>
        <v>0.28671947849979462</v>
      </c>
      <c r="L701" s="51">
        <f>M700*(1-AE701*C$6)</f>
        <v>87.266666666666666</v>
      </c>
      <c r="M701" s="52">
        <f>L701+E701</f>
        <v>164.26666666666665</v>
      </c>
      <c r="N701" s="17">
        <f>(M701/D$6)^E$6</f>
        <v>0.4407025549284625</v>
      </c>
      <c r="O701" s="17">
        <f>(L701/D$6)^E$6</f>
        <v>0.13418611561976262</v>
      </c>
      <c r="P701" s="32">
        <f>1-EXP(O701-N701)</f>
        <v>0.26399358135681483</v>
      </c>
      <c r="Q701" s="53">
        <f>R700*(1-AF701*C$7)</f>
        <v>87.266666666666666</v>
      </c>
      <c r="R701" s="54">
        <f>Q701+E701</f>
        <v>164.26666666666665</v>
      </c>
      <c r="S701" s="16">
        <f>(R701/D$7)^E$7</f>
        <v>1.400614373673216</v>
      </c>
      <c r="T701" s="16">
        <f>(Q701/D$7)^E$7</f>
        <v>0.30115842040528412</v>
      </c>
      <c r="U701" s="35">
        <f>1-EXP(T701-S701)</f>
        <v>0.66694776960496838</v>
      </c>
      <c r="V701" s="55">
        <f>W700*(1-AG701*C$8)</f>
        <v>87.266666666666666</v>
      </c>
      <c r="W701" s="56">
        <f>V701+E701</f>
        <v>164.26666666666665</v>
      </c>
      <c r="X701" s="18">
        <f>(W701/D$8)^E$8</f>
        <v>7.8551928495072421E-2</v>
      </c>
      <c r="Y701" s="18">
        <f>(V701/D$8)^E$8</f>
        <v>1.5854887968448601E-2</v>
      </c>
      <c r="Z701" s="38">
        <f>1-EXP(Y701-X701)</f>
        <v>6.0772021395994358E-2</v>
      </c>
      <c r="AA701" s="41">
        <f>K701*P701*U701*Z701</f>
        <v>3.067934423290238E-3</v>
      </c>
      <c r="AB701" s="42">
        <f>1-AA701</f>
        <v>0.99693206557670977</v>
      </c>
      <c r="AC701" s="47">
        <f>(AF701*F$7)+E701+AC700</f>
        <v>209.66666666666669</v>
      </c>
      <c r="AD701" s="77">
        <v>1</v>
      </c>
      <c r="AE701" s="78">
        <v>1</v>
      </c>
      <c r="AF701" s="78">
        <v>1</v>
      </c>
      <c r="AG701" s="78">
        <v>1</v>
      </c>
      <c r="AH701" s="74">
        <v>40</v>
      </c>
    </row>
    <row r="702" spans="1:34" ht="15.75" thickBot="1" x14ac:dyDescent="0.3">
      <c r="A702" s="57">
        <v>3</v>
      </c>
      <c r="B702" s="58">
        <v>5</v>
      </c>
      <c r="C702" s="58">
        <v>500</v>
      </c>
      <c r="D702" s="9">
        <v>4</v>
      </c>
      <c r="E702" s="48">
        <f t="shared" si="73"/>
        <v>45.666666666666664</v>
      </c>
      <c r="F702" s="100">
        <v>95</v>
      </c>
      <c r="G702" s="68">
        <f>H701*(1-AD702*C$5)</f>
        <v>114.98666666666665</v>
      </c>
      <c r="H702" s="69">
        <f>G702+E702</f>
        <v>160.65333333333331</v>
      </c>
      <c r="I702" s="70">
        <f>(H702/D$5)^E$5</f>
        <v>0.48875408312881768</v>
      </c>
      <c r="J702" s="70">
        <f>(G702/D$5)^E$5</f>
        <v>0.27404462901257293</v>
      </c>
      <c r="K702" s="29">
        <f>1-EXP(J702-I702)</f>
        <v>0.19322418848098599</v>
      </c>
      <c r="L702" s="51">
        <f>M701*(1-AE702*C$6)</f>
        <v>114.98666666666665</v>
      </c>
      <c r="M702" s="52">
        <f>L702+E702</f>
        <v>160.65333333333331</v>
      </c>
      <c r="N702" s="17">
        <f>(M702/D$6)^E$6</f>
        <v>0.42265433313983669</v>
      </c>
      <c r="O702" s="17">
        <f>(L702/D$6)^E$6</f>
        <v>0.22538752965113423</v>
      </c>
      <c r="P702" s="32">
        <f>1-EXP(O702-N702)</f>
        <v>0.17902843398794011</v>
      </c>
      <c r="Q702" s="53">
        <f>R701*(1-AF702*C$7)</f>
        <v>114.98666666666665</v>
      </c>
      <c r="R702" s="54">
        <f>Q702+E702</f>
        <v>160.65333333333331</v>
      </c>
      <c r="S702" s="16">
        <f>(R702/D$7)^E$7</f>
        <v>1.3269223205942826</v>
      </c>
      <c r="T702" s="16">
        <f>(Q702/D$7)^E$7</f>
        <v>0.58871732444471214</v>
      </c>
      <c r="U702" s="35">
        <f>1-EXP(T702-S702)</f>
        <v>0.52202889406362218</v>
      </c>
      <c r="V702" s="55">
        <f>W701*(1-AG702*C$8)</f>
        <v>114.98666666666665</v>
      </c>
      <c r="W702" s="56">
        <f>V702+E702</f>
        <v>160.65333333333331</v>
      </c>
      <c r="X702" s="18">
        <f>(W702/D$8)^E$8</f>
        <v>7.4253649203222485E-2</v>
      </c>
      <c r="Y702" s="18">
        <f>(V702/D$8)^E$8</f>
        <v>3.1860669160436672E-2</v>
      </c>
      <c r="Z702" s="38">
        <f>1-EXP(Y702-X702)</f>
        <v>4.150696208388982E-2</v>
      </c>
      <c r="AA702" s="41">
        <f>K702*P702*U702*Z702</f>
        <v>7.4954721482967004E-4</v>
      </c>
      <c r="AB702" s="42">
        <f>1-AA702</f>
        <v>0.99925045278517033</v>
      </c>
      <c r="AC702" s="47">
        <f>(AF702*F$7)+E702+AC701</f>
        <v>263.33333333333337</v>
      </c>
      <c r="AD702" s="80">
        <v>1</v>
      </c>
      <c r="AE702" s="45">
        <v>1</v>
      </c>
      <c r="AF702" s="81">
        <v>1</v>
      </c>
      <c r="AG702" s="45">
        <v>1</v>
      </c>
      <c r="AH702" s="94">
        <v>67</v>
      </c>
    </row>
    <row r="703" spans="1:34" ht="18.75" x14ac:dyDescent="0.3">
      <c r="A703" s="132" t="s">
        <v>53</v>
      </c>
      <c r="B703" s="132"/>
      <c r="C703" s="132"/>
      <c r="D703" s="132"/>
      <c r="E703" s="132"/>
      <c r="F703" s="132"/>
      <c r="G703" s="132"/>
      <c r="H703" s="132"/>
      <c r="I703" s="132"/>
      <c r="J703" s="132"/>
      <c r="AG703" s="46"/>
    </row>
    <row r="704" spans="1:34" ht="15.75" x14ac:dyDescent="0.25">
      <c r="A704" s="19" t="s">
        <v>82</v>
      </c>
      <c r="B704" s="60" t="s">
        <v>49</v>
      </c>
      <c r="C704" s="61" t="s">
        <v>50</v>
      </c>
      <c r="D704" s="19" t="s">
        <v>58</v>
      </c>
      <c r="E704" s="60" t="s">
        <v>57</v>
      </c>
      <c r="F704" s="61" t="s">
        <v>50</v>
      </c>
      <c r="G704" s="19" t="s">
        <v>48</v>
      </c>
      <c r="H704" s="60" t="s">
        <v>61</v>
      </c>
      <c r="I704" s="61" t="s">
        <v>50</v>
      </c>
      <c r="J704" s="19" t="s">
        <v>54</v>
      </c>
      <c r="K704" s="83" t="s">
        <v>84</v>
      </c>
      <c r="L704" s="61" t="s">
        <v>50</v>
      </c>
      <c r="M704" s="61" t="s">
        <v>85</v>
      </c>
      <c r="O704" s="174" t="s">
        <v>64</v>
      </c>
      <c r="P704" s="174"/>
      <c r="Q704" s="175" t="s">
        <v>109</v>
      </c>
      <c r="R704" s="175"/>
    </row>
    <row r="705" spans="1:20" ht="24.75" x14ac:dyDescent="0.25">
      <c r="A705" s="61" t="s">
        <v>51</v>
      </c>
      <c r="B705" s="1">
        <f>AA699</f>
        <v>1.3060317021926209E-5</v>
      </c>
      <c r="C705" s="59">
        <f>MAX(AC699+1*L692-F699,0)</f>
        <v>0</v>
      </c>
      <c r="D705" s="62" t="s">
        <v>55</v>
      </c>
      <c r="E705" s="1">
        <f>AA699*AA700</f>
        <v>4.7087922587392923E-9</v>
      </c>
      <c r="F705" s="1">
        <f>MAX(AC700+2*L692-F700,0)</f>
        <v>42.666666666666686</v>
      </c>
      <c r="G705" s="62" t="s">
        <v>59</v>
      </c>
      <c r="H705" s="1">
        <f>AA699*AA700*AA701</f>
        <v>1.4446265862708868E-11</v>
      </c>
      <c r="I705" s="1">
        <f>AC701+3*L692-F701</f>
        <v>169.66666666666669</v>
      </c>
      <c r="J705" s="62" t="s">
        <v>83</v>
      </c>
      <c r="K705" s="1">
        <f>AA699*AA700*AA701*AA702</f>
        <v>1.0828158342082372E-14</v>
      </c>
      <c r="L705" s="1">
        <f>AC702+4*L692-F702</f>
        <v>216.33333333333337</v>
      </c>
      <c r="M705" s="1">
        <f>B705*C705*AH699+E705*F705*AH700+H705*I705*AH701+K705*L705*AH702</f>
        <v>2.2198130605607736E-5</v>
      </c>
      <c r="O705" s="1" t="s">
        <v>27</v>
      </c>
      <c r="P705" s="1">
        <f>2*H690</f>
        <v>3640</v>
      </c>
      <c r="Q705" s="1">
        <f>(K699*(1-P699)*(1-U699)*(1-Z699))+(P699*(1-K699)*(1-U699)*(1-Z699))+(U699*(1-K699)*(1-P699)*(1-Z699))+(Z699*(1-K699)*(1-P699)*(1-U699))</f>
        <v>0.28083409477630866</v>
      </c>
      <c r="R705" s="1">
        <f>Q705*(L$7*(J$5*K$5+L$5)+I$5)</f>
        <v>9897.9976703909997</v>
      </c>
    </row>
    <row r="706" spans="1:20" ht="24.75" x14ac:dyDescent="0.25">
      <c r="A706" s="62" t="s">
        <v>52</v>
      </c>
      <c r="B706" s="1">
        <f>AB699</f>
        <v>0.99998693968297803</v>
      </c>
      <c r="C706" s="59">
        <f>MAX(AC699-F699,0)</f>
        <v>0</v>
      </c>
      <c r="D706" s="62" t="s">
        <v>56</v>
      </c>
      <c r="E706" s="1">
        <f>AA699*AB700+AA700*AB699</f>
        <v>3.7359285648439107E-4</v>
      </c>
      <c r="F706" s="1">
        <f>MAX(AC700+1*L692-F700,0)</f>
        <v>30.666666666666686</v>
      </c>
      <c r="G706" s="62" t="s">
        <v>60</v>
      </c>
      <c r="H706" s="1">
        <f>AA699*AA700*AB701+AA700*AA701*AB699+AA699*AA701*AB700</f>
        <v>1.1508527306966697E-6</v>
      </c>
      <c r="I706" s="1">
        <f>AC701+2*L692-F701</f>
        <v>157.66666666666669</v>
      </c>
      <c r="J706" s="62" t="s">
        <v>59</v>
      </c>
      <c r="K706">
        <f>AB699*AA700*AA701*AA702+AB700*AA699*AA701*AA702*+AB701*AA699*AA700*AA702+AB702*AA699*AA700*AA701</f>
        <v>8.4351308602825582E-10</v>
      </c>
      <c r="L706" s="1">
        <f>AC702+3*L692-F702</f>
        <v>204.33333333333337</v>
      </c>
      <c r="M706" s="1">
        <f>B706*C706*AH699+E706*F706*AH700+H706*I706*AH701+K706*L706*AH702</f>
        <v>1.267522828404259</v>
      </c>
      <c r="O706" s="1" t="s">
        <v>28</v>
      </c>
      <c r="P706" s="1">
        <f>2*H691</f>
        <v>5440</v>
      </c>
      <c r="Q706" s="1">
        <f t="shared" ref="Q706:Q708" si="74">(K700*(1-P700)*(1-U700)*(1-Z700))+(P700*(1-K700)*(1-U700)*(1-Z700))+(U700*(1-K700)*(1-P700)*(1-Z700))+(Z700*(1-K700)*(1-P700)*(1-U700))</f>
        <v>0.45100181571012737</v>
      </c>
      <c r="R706" s="1">
        <f t="shared" ref="R706:R708" si="75">Q706*(L$7*(J$5*K$5+L$5)+I$5)</f>
        <v>15895.558994703439</v>
      </c>
    </row>
    <row r="707" spans="1:20" ht="24.75" x14ac:dyDescent="0.25">
      <c r="A707" s="1"/>
      <c r="B707" s="1"/>
      <c r="C707" s="1"/>
      <c r="D707" s="62" t="s">
        <v>52</v>
      </c>
      <c r="E707" s="1">
        <f>AB699*AB700</f>
        <v>0.99962640243472334</v>
      </c>
      <c r="F707" s="59">
        <f>MAX(AC700-F700,0)</f>
        <v>18.666666666666671</v>
      </c>
      <c r="G707" s="62" t="s">
        <v>56</v>
      </c>
      <c r="H707" s="1">
        <f>AA699*AB700*AB701+AA700*AB699*AB701*+AA701*AB699*AB700</f>
        <v>1.4117853687865404E-5</v>
      </c>
      <c r="I707" s="1">
        <f>AC701+1*L692-F701</f>
        <v>145.66666666666669</v>
      </c>
      <c r="J707" s="62" t="s">
        <v>60</v>
      </c>
      <c r="K707" s="1">
        <f>AA699*AA700*AB701*AB702 + AA699*AA701*AB700*AB702 + AA699*AA702*AB700*AB701 + AA700*AA701*AB699*AB702 + AA700*AA702*AB699*AB701 + AA701*AA702*AB699*AB700</f>
        <v>3.7278590890749256E-6</v>
      </c>
      <c r="L707" s="1">
        <f>AC702+2*L692-F702</f>
        <v>192.33333333333337</v>
      </c>
      <c r="M707" s="1">
        <f>B707*C707*AH699+E707*F707*AH700+H707*I707*AH701+K707*L707*AH702</f>
        <v>2052.6965114616287</v>
      </c>
      <c r="O707" s="1" t="s">
        <v>29</v>
      </c>
      <c r="P707" s="1">
        <f>2*(F692*(J690*K690+L690)+H692)</f>
        <v>28200</v>
      </c>
      <c r="Q707" s="1">
        <f t="shared" si="74"/>
        <v>0.46439583274070867</v>
      </c>
      <c r="R707" s="1">
        <f t="shared" si="75"/>
        <v>16367.631124946278</v>
      </c>
    </row>
    <row r="708" spans="1:20" ht="24.75" x14ac:dyDescent="0.25">
      <c r="A708" s="1"/>
      <c r="B708" s="1"/>
      <c r="C708" s="1"/>
      <c r="D708" s="1"/>
      <c r="E708" s="1"/>
      <c r="F708" s="1"/>
      <c r="G708" s="62" t="s">
        <v>52</v>
      </c>
      <c r="H708" s="1">
        <f>AB699*AB700*AB701</f>
        <v>0.99655961418426409</v>
      </c>
      <c r="I708" s="63">
        <f>AC701-F701</f>
        <v>133.66666666666669</v>
      </c>
      <c r="J708" s="62" t="s">
        <v>56</v>
      </c>
      <c r="K708" s="1">
        <f>AA699*AB700*AB701*AB702+AA700*AB699*AB701*AB702+AA701*AB699*AB700*AB702+AA702*AB699*AB700*AB701</f>
        <v>4.1836255628056639E-3</v>
      </c>
      <c r="L708" s="1">
        <f>AC702+1*L692-F702</f>
        <v>180.33333333333337</v>
      </c>
      <c r="M708" s="1">
        <f>B708*C708*AH699+E708*F708*AH700+H708*I708*AH701+K708*L708*AH702</f>
        <v>5378.8200290968716</v>
      </c>
      <c r="O708" s="1" t="s">
        <v>30</v>
      </c>
      <c r="P708" s="1">
        <f>2*H693</f>
        <v>8640</v>
      </c>
      <c r="Q708" s="1">
        <f t="shared" si="74"/>
        <v>0.48339424965059907</v>
      </c>
      <c r="R708" s="1">
        <f t="shared" si="75"/>
        <v>17037.230328935366</v>
      </c>
    </row>
    <row r="709" spans="1:20" ht="30" x14ac:dyDescent="0.25">
      <c r="I709" s="84"/>
      <c r="J709" s="62" t="s">
        <v>52</v>
      </c>
      <c r="K709" s="85">
        <f>AB699*AB700*AB701*AB702</f>
        <v>0.99581264570104056</v>
      </c>
      <c r="L709" s="1">
        <f>AC702+0*L692-F702</f>
        <v>168.33333333333337</v>
      </c>
      <c r="M709" s="1">
        <f>B709*C709*AH699+E709*F709*AH700+H709*I709*AH701+K709*L709*AH702</f>
        <v>11231.106955764904</v>
      </c>
      <c r="O709" s="64" t="s">
        <v>65</v>
      </c>
      <c r="P709" s="65">
        <f>SUM(P705:P708)</f>
        <v>45920</v>
      </c>
      <c r="Q709" s="96" t="s">
        <v>108</v>
      </c>
      <c r="R709" s="97">
        <f>SUM(R705:R708)</f>
        <v>59198.418118976078</v>
      </c>
    </row>
    <row r="710" spans="1:20" x14ac:dyDescent="0.25">
      <c r="L710" s="176" t="s">
        <v>63</v>
      </c>
      <c r="M710" s="177">
        <f>SUM(M705:M709)</f>
        <v>18663.89104134994</v>
      </c>
    </row>
    <row r="711" spans="1:20" x14ac:dyDescent="0.25">
      <c r="L711" s="176"/>
      <c r="M711" s="177"/>
    </row>
    <row r="712" spans="1:20" x14ac:dyDescent="0.25">
      <c r="A712" s="178" t="s">
        <v>90</v>
      </c>
      <c r="B712" s="178"/>
      <c r="C712" s="178"/>
      <c r="D712" s="178"/>
      <c r="E712" s="178"/>
      <c r="F712" s="178"/>
      <c r="G712" s="178"/>
      <c r="H712" s="178"/>
      <c r="I712" s="178"/>
      <c r="J712" s="178"/>
      <c r="K712" s="178"/>
      <c r="L712" s="178"/>
      <c r="M712" s="178"/>
      <c r="N712" s="178"/>
    </row>
    <row r="713" spans="1:20" ht="15.75" x14ac:dyDescent="0.25">
      <c r="A713" s="87" t="s">
        <v>86</v>
      </c>
      <c r="B713" s="62" t="s">
        <v>49</v>
      </c>
      <c r="C713" s="90" t="s">
        <v>103</v>
      </c>
      <c r="D713" s="62" t="s">
        <v>88</v>
      </c>
      <c r="E713" s="87" t="s">
        <v>77</v>
      </c>
      <c r="F713" s="62" t="s">
        <v>57</v>
      </c>
      <c r="G713" s="90" t="s">
        <v>78</v>
      </c>
      <c r="H713" s="62" t="s">
        <v>88</v>
      </c>
      <c r="I713" s="87" t="s">
        <v>75</v>
      </c>
      <c r="J713" s="62" t="s">
        <v>61</v>
      </c>
      <c r="K713" s="90" t="s">
        <v>87</v>
      </c>
      <c r="L713" s="62" t="s">
        <v>88</v>
      </c>
      <c r="M713" s="87" t="s">
        <v>76</v>
      </c>
      <c r="N713" s="62" t="s">
        <v>84</v>
      </c>
      <c r="O713" s="90" t="s">
        <v>102</v>
      </c>
      <c r="P713" s="62" t="s">
        <v>88</v>
      </c>
    </row>
    <row r="714" spans="1:20" ht="24.75" x14ac:dyDescent="0.25">
      <c r="A714" s="62" t="s">
        <v>51</v>
      </c>
      <c r="B714" s="86">
        <v>1.3060317021926209E-5</v>
      </c>
      <c r="C714" s="86">
        <f>AC699+1*L692</f>
        <v>81.666666666666671</v>
      </c>
      <c r="D714" s="86">
        <f>MAX(B714*1.5*((C714-F699)*500/2),0)</f>
        <v>0</v>
      </c>
      <c r="E714" s="62" t="s">
        <v>55</v>
      </c>
      <c r="F714" s="86">
        <v>4.7087922587392923E-9</v>
      </c>
      <c r="G714" s="86">
        <f>AC700+2*L692</f>
        <v>148.66666666666669</v>
      </c>
      <c r="H714" s="86">
        <f>F714*1.5*((G714-F700)*500/2+(G714-F701)*500+(G714-F702)*500)</f>
        <v>5.2149874265537677E-4</v>
      </c>
      <c r="I714" s="62" t="s">
        <v>59</v>
      </c>
      <c r="J714" s="86">
        <v>1.4446265862708868E-11</v>
      </c>
      <c r="K714" s="86">
        <f>AC701+3*L692</f>
        <v>245.66666666666669</v>
      </c>
      <c r="L714" s="86">
        <f>J714*1.5*((K714-G714)*500/2+(K714-G714)*500)</f>
        <v>1.5764487622681053E-6</v>
      </c>
      <c r="M714" s="62" t="s">
        <v>83</v>
      </c>
      <c r="N714" s="86">
        <v>1.0828158342082372E-14</v>
      </c>
      <c r="O714" s="86">
        <f>AC702+4*L692</f>
        <v>311.33333333333337</v>
      </c>
      <c r="P714" s="86">
        <f>N714*1.5*((O714-K714)*500/2)</f>
        <v>2.6664339917377852E-10</v>
      </c>
    </row>
    <row r="715" spans="1:20" ht="24.75" x14ac:dyDescent="0.25">
      <c r="A715" s="62" t="s">
        <v>52</v>
      </c>
      <c r="B715" s="86">
        <v>0.99998693968297803</v>
      </c>
      <c r="C715" s="88">
        <f>AC699</f>
        <v>69.666666666666671</v>
      </c>
      <c r="D715" s="86">
        <f>MAX(B715*1.5*((C715-F699)*500/2),0)</f>
        <v>0</v>
      </c>
      <c r="E715" s="62" t="s">
        <v>56</v>
      </c>
      <c r="F715" s="86">
        <v>3.7359285648439107E-4</v>
      </c>
      <c r="G715" s="86">
        <f>AC700+1*L692</f>
        <v>136.66666666666669</v>
      </c>
      <c r="H715" s="86">
        <f>F715*1.5*((G715-F700)*500/2+(G715-F701)*500+(G715-F702)*500)</f>
        <v>32.969569584747525</v>
      </c>
      <c r="I715" s="62" t="s">
        <v>60</v>
      </c>
      <c r="J715" s="86">
        <v>1.1508527306966697E-6</v>
      </c>
      <c r="K715" s="86">
        <f>AC701+2*L692</f>
        <v>233.66666666666669</v>
      </c>
      <c r="L715" s="86">
        <f>J715*1.5*((K715-G715)*500/2+(K715-G715)*500)</f>
        <v>0.12558680423727409</v>
      </c>
      <c r="M715" s="62" t="s">
        <v>59</v>
      </c>
      <c r="N715" s="86">
        <v>8.4351308602825582E-10</v>
      </c>
      <c r="O715" s="86">
        <f>AC702+3*L692</f>
        <v>299.33333333333337</v>
      </c>
      <c r="P715" s="86">
        <f>N715*1.5*((O715-K715)*500/2)</f>
        <v>2.0771509743445806E-5</v>
      </c>
    </row>
    <row r="716" spans="1:20" x14ac:dyDescent="0.25">
      <c r="A716" s="86"/>
      <c r="B716" s="86"/>
      <c r="C716" s="89" t="s">
        <v>89</v>
      </c>
      <c r="D716" s="89">
        <f>SUM(D714:D715)</f>
        <v>0</v>
      </c>
      <c r="E716" s="62" t="s">
        <v>52</v>
      </c>
      <c r="F716" s="86">
        <v>0.99962640243472334</v>
      </c>
      <c r="G716" s="86">
        <f>AC700+0*L692</f>
        <v>124.66666666666667</v>
      </c>
      <c r="H716" s="86">
        <f>F716*1.5*((G716-F700)*500/2+(G716-F701)*500+(G716-F702)*500)</f>
        <v>65725.435960083065</v>
      </c>
      <c r="I716" s="62" t="s">
        <v>56</v>
      </c>
      <c r="J716" s="86">
        <v>1.4117853687865404E-5</v>
      </c>
      <c r="K716" s="86">
        <f>AC701+1*L692</f>
        <v>221.66666666666669</v>
      </c>
      <c r="L716" s="86">
        <f>J716*1.5*((K716-G716)*500/2+(K716-G716)*500)</f>
        <v>1.5406107836883125</v>
      </c>
      <c r="M716" s="62" t="s">
        <v>60</v>
      </c>
      <c r="N716" s="86">
        <v>3.7278590890749256E-6</v>
      </c>
      <c r="O716" s="86">
        <f>AC702+2*L692</f>
        <v>287.33333333333337</v>
      </c>
      <c r="P716" s="86">
        <f>N716*1.5*((O716-K716)*500/2)</f>
        <v>9.1798530068470066E-2</v>
      </c>
    </row>
    <row r="717" spans="1:20" x14ac:dyDescent="0.25">
      <c r="A717" s="86"/>
      <c r="B717" s="86"/>
      <c r="C717" s="86"/>
      <c r="D717" s="86"/>
      <c r="E717" s="86"/>
      <c r="F717" s="86"/>
      <c r="G717" s="89" t="s">
        <v>79</v>
      </c>
      <c r="H717" s="89">
        <f>SUM(H714:H716)</f>
        <v>65758.406051166559</v>
      </c>
      <c r="I717" s="62" t="s">
        <v>52</v>
      </c>
      <c r="J717" s="86">
        <v>0.99655961418426409</v>
      </c>
      <c r="K717" s="86">
        <f>AC701+0*L692</f>
        <v>209.66666666666669</v>
      </c>
      <c r="L717" s="86">
        <f>J717*1.5*((K717-G716)*500/2+(K717-G716)*500)</f>
        <v>95296.013106370287</v>
      </c>
      <c r="M717" s="62" t="s">
        <v>56</v>
      </c>
      <c r="N717" s="86">
        <v>4.1836255628056639E-3</v>
      </c>
      <c r="O717" s="86">
        <f>AC702+1*L692</f>
        <v>275.33333333333337</v>
      </c>
      <c r="P717" s="86">
        <f>N717*1.5*((O717-K717)*500/2)</f>
        <v>103.02177948408951</v>
      </c>
    </row>
    <row r="718" spans="1:20" x14ac:dyDescent="0.25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9" t="s">
        <v>79</v>
      </c>
      <c r="L718" s="89">
        <f>SUM(L714:L717)</f>
        <v>95297.679305534664</v>
      </c>
      <c r="M718" s="62" t="s">
        <v>52</v>
      </c>
      <c r="N718" s="86">
        <v>0.99581264570104056</v>
      </c>
      <c r="O718" s="86">
        <f>AC702+0*L692</f>
        <v>263.33333333333337</v>
      </c>
      <c r="P718" s="86">
        <f>N718*1.5*((O718-K717)*500/2)</f>
        <v>20040.729494733449</v>
      </c>
      <c r="Q718" s="179" t="s">
        <v>80</v>
      </c>
      <c r="R718" s="179"/>
      <c r="S718" s="180">
        <f>D716+H717+L718+P719</f>
        <v>181199.92845022061</v>
      </c>
      <c r="T718" s="180"/>
    </row>
    <row r="719" spans="1:20" x14ac:dyDescent="0.25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9" t="s">
        <v>79</v>
      </c>
      <c r="P719" s="89">
        <f>SUM(P714:P718)</f>
        <v>20143.843093519383</v>
      </c>
      <c r="Q719" s="179"/>
      <c r="R719" s="179"/>
      <c r="S719" s="180"/>
      <c r="T719" s="180"/>
    </row>
    <row r="720" spans="1:20" x14ac:dyDescent="0.25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</row>
    <row r="721" spans="1:34" x14ac:dyDescent="0.25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</row>
    <row r="722" spans="1:34" x14ac:dyDescent="0.25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</row>
    <row r="723" spans="1:34" ht="24.75" thickBot="1" x14ac:dyDescent="0.3">
      <c r="O723" s="131" t="s">
        <v>81</v>
      </c>
      <c r="P723" s="131"/>
      <c r="Q723" s="131">
        <f>(R709+P709+M710+S718)/AC702</f>
        <v>1158.1603959894173</v>
      </c>
      <c r="R723" s="131"/>
    </row>
    <row r="724" spans="1:34" x14ac:dyDescent="0.25">
      <c r="A724" s="181" t="s">
        <v>124</v>
      </c>
      <c r="B724" s="182"/>
    </row>
    <row r="725" spans="1:34" ht="15.75" thickBot="1" x14ac:dyDescent="0.3">
      <c r="A725" s="183"/>
      <c r="B725" s="184"/>
    </row>
    <row r="726" spans="1:34" ht="21" x14ac:dyDescent="0.35">
      <c r="A726" s="185" t="s">
        <v>14</v>
      </c>
      <c r="B726" s="185"/>
      <c r="C726" s="165"/>
      <c r="D726" s="165"/>
      <c r="E726" s="165"/>
      <c r="F726" s="165"/>
      <c r="G726" s="165"/>
      <c r="H726" s="165"/>
      <c r="I726" s="165"/>
      <c r="J726" s="165"/>
      <c r="K726" s="165"/>
      <c r="L726" s="165"/>
      <c r="M726" s="165"/>
      <c r="O726" s="166" t="s">
        <v>72</v>
      </c>
      <c r="P726" s="166"/>
      <c r="Q726" s="166"/>
      <c r="R726" s="166"/>
      <c r="S726" s="166"/>
      <c r="T726" s="166"/>
      <c r="U726" s="166"/>
      <c r="V726" s="166"/>
    </row>
    <row r="727" spans="1:34" ht="36" x14ac:dyDescent="0.25">
      <c r="A727" s="4" t="s">
        <v>15</v>
      </c>
      <c r="B727" s="4" t="s">
        <v>16</v>
      </c>
      <c r="C727" s="4" t="s">
        <v>31</v>
      </c>
      <c r="D727" s="6" t="s">
        <v>17</v>
      </c>
      <c r="E727" s="6" t="s">
        <v>18</v>
      </c>
      <c r="F727" s="6" t="s">
        <v>19</v>
      </c>
      <c r="G727" s="6" t="s">
        <v>20</v>
      </c>
      <c r="H727" s="6" t="s">
        <v>21</v>
      </c>
      <c r="I727" s="6" t="s">
        <v>22</v>
      </c>
      <c r="J727" s="6" t="s">
        <v>23</v>
      </c>
      <c r="K727" s="6" t="s">
        <v>24</v>
      </c>
      <c r="L727" s="6" t="s">
        <v>25</v>
      </c>
      <c r="M727" s="6" t="s">
        <v>26</v>
      </c>
      <c r="N727" s="8"/>
      <c r="O727" s="167" t="s">
        <v>32</v>
      </c>
      <c r="P727" s="167" t="s">
        <v>35</v>
      </c>
      <c r="Q727" s="167" t="s">
        <v>66</v>
      </c>
      <c r="R727" s="99" t="s">
        <v>67</v>
      </c>
      <c r="S727" s="99" t="s">
        <v>68</v>
      </c>
      <c r="T727" s="167" t="s">
        <v>69</v>
      </c>
      <c r="U727" s="71" t="s">
        <v>33</v>
      </c>
      <c r="V727" s="99" t="s">
        <v>70</v>
      </c>
    </row>
    <row r="728" spans="1:34" x14ac:dyDescent="0.25">
      <c r="A728" s="3" t="s">
        <v>27</v>
      </c>
      <c r="B728" s="3">
        <v>0</v>
      </c>
      <c r="C728" s="3">
        <v>0.3</v>
      </c>
      <c r="D728" s="3">
        <v>243</v>
      </c>
      <c r="E728" s="3">
        <v>1.73</v>
      </c>
      <c r="F728" s="3">
        <v>5</v>
      </c>
      <c r="G728" s="169">
        <v>12</v>
      </c>
      <c r="H728" s="3">
        <v>1820</v>
      </c>
      <c r="I728" s="169">
        <v>19645</v>
      </c>
      <c r="J728" s="3">
        <v>20</v>
      </c>
      <c r="K728" s="3">
        <v>40</v>
      </c>
      <c r="L728" s="3">
        <v>500</v>
      </c>
      <c r="M728" s="3">
        <v>1000</v>
      </c>
      <c r="O728" s="168"/>
      <c r="P728" s="168"/>
      <c r="Q728" s="168"/>
      <c r="R728" s="72" t="s">
        <v>71</v>
      </c>
      <c r="S728" s="72" t="s">
        <v>71</v>
      </c>
      <c r="T728" s="168"/>
      <c r="U728" s="73">
        <v>500</v>
      </c>
      <c r="V728" s="3">
        <v>1.5</v>
      </c>
    </row>
    <row r="729" spans="1:34" x14ac:dyDescent="0.25">
      <c r="A729" s="3" t="s">
        <v>28</v>
      </c>
      <c r="B729" s="3">
        <v>0</v>
      </c>
      <c r="C729" s="3">
        <v>0.3</v>
      </c>
      <c r="D729" s="3">
        <v>254</v>
      </c>
      <c r="E729" s="3">
        <v>1.88</v>
      </c>
      <c r="F729" s="3">
        <v>3</v>
      </c>
      <c r="G729" s="170"/>
      <c r="H729" s="3">
        <v>2720</v>
      </c>
      <c r="I729" s="170"/>
      <c r="J729" s="5"/>
      <c r="K729" s="5"/>
      <c r="L729" s="5"/>
      <c r="M729" s="5"/>
      <c r="O729" s="74">
        <v>1</v>
      </c>
      <c r="P729" s="74">
        <v>106</v>
      </c>
      <c r="Q729" s="74">
        <v>110</v>
      </c>
      <c r="R729" s="74">
        <v>6</v>
      </c>
      <c r="S729" s="74">
        <v>5</v>
      </c>
      <c r="T729" s="74">
        <f>R729*$U$5/60+S729</f>
        <v>55</v>
      </c>
      <c r="U729" s="75"/>
    </row>
    <row r="730" spans="1:34" x14ac:dyDescent="0.25">
      <c r="A730" s="3" t="s">
        <v>29</v>
      </c>
      <c r="B730" s="3">
        <v>0</v>
      </c>
      <c r="C730" s="3">
        <v>0.3</v>
      </c>
      <c r="D730" s="3">
        <v>143</v>
      </c>
      <c r="E730" s="3">
        <v>2.4300000000000002</v>
      </c>
      <c r="F730" s="3">
        <v>8</v>
      </c>
      <c r="G730" s="170"/>
      <c r="H730" s="3">
        <v>3700</v>
      </c>
      <c r="I730" s="170"/>
      <c r="J730" s="5"/>
      <c r="K730" s="140" t="s">
        <v>73</v>
      </c>
      <c r="L730" s="141">
        <v>12</v>
      </c>
      <c r="M730" s="140" t="s">
        <v>74</v>
      </c>
      <c r="N730" s="141">
        <v>19645</v>
      </c>
      <c r="O730" s="74">
        <v>2</v>
      </c>
      <c r="P730" s="74">
        <v>76</v>
      </c>
      <c r="Q730" s="74">
        <v>40</v>
      </c>
      <c r="R730" s="74">
        <v>9</v>
      </c>
      <c r="S730" s="74">
        <v>2</v>
      </c>
      <c r="T730" s="74">
        <f t="shared" ref="T730:T732" si="76">R730*$U$5/60+S730</f>
        <v>77</v>
      </c>
      <c r="U730" s="75"/>
    </row>
    <row r="731" spans="1:34" x14ac:dyDescent="0.25">
      <c r="A731" s="3" t="s">
        <v>30</v>
      </c>
      <c r="B731" s="3">
        <v>0</v>
      </c>
      <c r="C731" s="3">
        <v>0.3</v>
      </c>
      <c r="D731" s="3">
        <v>449</v>
      </c>
      <c r="E731" s="3">
        <v>2.5299999999999998</v>
      </c>
      <c r="F731" s="3">
        <v>4</v>
      </c>
      <c r="G731" s="171"/>
      <c r="H731" s="3">
        <v>4320</v>
      </c>
      <c r="I731" s="171"/>
      <c r="J731" s="5"/>
      <c r="K731" s="140"/>
      <c r="L731" s="141"/>
      <c r="M731" s="140"/>
      <c r="N731" s="141"/>
      <c r="O731" s="74">
        <v>3</v>
      </c>
      <c r="P731" s="74">
        <v>95</v>
      </c>
      <c r="Q731" s="74">
        <v>67</v>
      </c>
      <c r="R731" s="74">
        <v>5</v>
      </c>
      <c r="S731" s="74">
        <v>4</v>
      </c>
      <c r="T731" s="74">
        <f t="shared" si="76"/>
        <v>45.666666666666664</v>
      </c>
      <c r="U731" s="75"/>
    </row>
    <row r="732" spans="1:34" ht="15.75" thickBo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O732" s="74">
        <v>4</v>
      </c>
      <c r="P732" s="74">
        <v>140</v>
      </c>
      <c r="Q732" s="94">
        <v>85</v>
      </c>
      <c r="R732" s="94">
        <v>8</v>
      </c>
      <c r="S732" s="94">
        <v>3</v>
      </c>
      <c r="T732" s="74">
        <f t="shared" si="76"/>
        <v>69.666666666666671</v>
      </c>
    </row>
    <row r="733" spans="1:34" ht="15" customHeight="1" x14ac:dyDescent="0.25">
      <c r="A733" s="142" t="s">
        <v>100</v>
      </c>
      <c r="B733" s="144" t="s">
        <v>129</v>
      </c>
      <c r="C733" s="144"/>
      <c r="D733" s="144"/>
      <c r="E733" s="144"/>
      <c r="F733" s="20" t="s">
        <v>27</v>
      </c>
      <c r="G733" s="20" t="s">
        <v>28</v>
      </c>
      <c r="H733" s="20" t="s">
        <v>29</v>
      </c>
      <c r="I733" s="20" t="s">
        <v>30</v>
      </c>
    </row>
    <row r="734" spans="1:34" ht="15.75" customHeight="1" thickBot="1" x14ac:dyDescent="0.3">
      <c r="A734" s="143"/>
      <c r="B734" s="145"/>
      <c r="C734" s="145"/>
      <c r="D734" s="145"/>
      <c r="E734" s="145"/>
      <c r="F734" s="20">
        <v>91</v>
      </c>
      <c r="G734" s="26">
        <v>91</v>
      </c>
      <c r="H734" s="26">
        <v>91</v>
      </c>
      <c r="I734" s="26">
        <v>91</v>
      </c>
    </row>
    <row r="735" spans="1:34" ht="15.75" customHeight="1" thickBot="1" x14ac:dyDescent="0.3">
      <c r="A735" s="143"/>
      <c r="B735" s="145"/>
      <c r="C735" s="145"/>
      <c r="D735" s="145"/>
      <c r="E735" s="145"/>
      <c r="F735" s="7"/>
      <c r="G735" s="146" t="s">
        <v>27</v>
      </c>
      <c r="H735" s="147"/>
      <c r="I735" s="147"/>
      <c r="J735" s="147"/>
      <c r="K735" s="148"/>
      <c r="L735" s="149" t="s">
        <v>28</v>
      </c>
      <c r="M735" s="150"/>
      <c r="N735" s="150"/>
      <c r="O735" s="150"/>
      <c r="P735" s="151"/>
      <c r="Q735" s="152" t="s">
        <v>29</v>
      </c>
      <c r="R735" s="153"/>
      <c r="S735" s="153"/>
      <c r="T735" s="153"/>
      <c r="U735" s="154"/>
      <c r="V735" s="155" t="s">
        <v>30</v>
      </c>
      <c r="W735" s="156"/>
      <c r="X735" s="156"/>
      <c r="Y735" s="156"/>
      <c r="Z735" s="157"/>
      <c r="AA735" s="158" t="s">
        <v>42</v>
      </c>
      <c r="AB735" s="159"/>
      <c r="AC735" s="160" t="s">
        <v>44</v>
      </c>
      <c r="AD735" s="162" t="s">
        <v>47</v>
      </c>
      <c r="AE735" s="163"/>
      <c r="AF735" s="163"/>
      <c r="AG735" s="164"/>
      <c r="AH735" s="138" t="s">
        <v>62</v>
      </c>
    </row>
    <row r="736" spans="1:34" ht="36.75" x14ac:dyDescent="0.25">
      <c r="A736" s="21" t="s">
        <v>32</v>
      </c>
      <c r="B736" s="22" t="s">
        <v>37</v>
      </c>
      <c r="C736" s="23" t="s">
        <v>33</v>
      </c>
      <c r="D736" s="22" t="s">
        <v>38</v>
      </c>
      <c r="E736" s="22" t="s">
        <v>34</v>
      </c>
      <c r="F736" s="25" t="s">
        <v>35</v>
      </c>
      <c r="G736" s="27" t="s">
        <v>39</v>
      </c>
      <c r="H736" s="10" t="s">
        <v>40</v>
      </c>
      <c r="I736" s="10" t="s">
        <v>45</v>
      </c>
      <c r="J736" s="10" t="s">
        <v>46</v>
      </c>
      <c r="K736" s="28" t="s">
        <v>41</v>
      </c>
      <c r="L736" s="30" t="s">
        <v>39</v>
      </c>
      <c r="M736" s="13" t="s">
        <v>40</v>
      </c>
      <c r="N736" s="13" t="s">
        <v>45</v>
      </c>
      <c r="O736" s="13" t="s">
        <v>46</v>
      </c>
      <c r="P736" s="31" t="s">
        <v>41</v>
      </c>
      <c r="Q736" s="33" t="s">
        <v>39</v>
      </c>
      <c r="R736" s="12" t="s">
        <v>40</v>
      </c>
      <c r="S736" s="12" t="s">
        <v>45</v>
      </c>
      <c r="T736" s="12" t="s">
        <v>46</v>
      </c>
      <c r="U736" s="34" t="s">
        <v>41</v>
      </c>
      <c r="V736" s="36" t="s">
        <v>39</v>
      </c>
      <c r="W736" s="11" t="s">
        <v>40</v>
      </c>
      <c r="X736" s="11" t="s">
        <v>45</v>
      </c>
      <c r="Y736" s="11" t="s">
        <v>46</v>
      </c>
      <c r="Z736" s="37" t="s">
        <v>41</v>
      </c>
      <c r="AA736" s="39" t="s">
        <v>41</v>
      </c>
      <c r="AB736" s="40" t="s">
        <v>43</v>
      </c>
      <c r="AC736" s="161"/>
      <c r="AD736" s="43" t="s">
        <v>27</v>
      </c>
      <c r="AE736" s="1" t="s">
        <v>28</v>
      </c>
      <c r="AF736" s="1" t="s">
        <v>29</v>
      </c>
      <c r="AG736" s="1" t="s">
        <v>30</v>
      </c>
      <c r="AH736" s="139"/>
    </row>
    <row r="737" spans="1:34" x14ac:dyDescent="0.25">
      <c r="A737" s="24">
        <v>4</v>
      </c>
      <c r="B737" s="9">
        <v>8</v>
      </c>
      <c r="C737" s="9">
        <v>500</v>
      </c>
      <c r="D737" s="9">
        <v>3</v>
      </c>
      <c r="E737" s="48">
        <f>B737*C737/60+D737</f>
        <v>69.666666666666671</v>
      </c>
      <c r="F737" s="100">
        <v>140</v>
      </c>
      <c r="G737" s="49">
        <f>B$5*(1-AD737*C$5)</f>
        <v>0</v>
      </c>
      <c r="H737" s="50">
        <f>G737+E737</f>
        <v>69.666666666666671</v>
      </c>
      <c r="I737" s="15">
        <f>(H737/D$5)^E$5</f>
        <v>0.11516869637804684</v>
      </c>
      <c r="J737" s="15">
        <f>(G737/D$5)^E$5</f>
        <v>0</v>
      </c>
      <c r="K737" s="29">
        <f>1-EXP(J737-I737)</f>
        <v>0.10878421365041502</v>
      </c>
      <c r="L737" s="51">
        <f>B$6*(1-AE737*C$6)</f>
        <v>0</v>
      </c>
      <c r="M737" s="52">
        <f>L737+E737</f>
        <v>69.666666666666671</v>
      </c>
      <c r="N737" s="17">
        <f>(M737/D$6)^E$6</f>
        <v>8.7861714115895329E-2</v>
      </c>
      <c r="O737" s="17">
        <f>(L737/D$6)^E$6</f>
        <v>0</v>
      </c>
      <c r="P737" s="32">
        <f>1-EXP(O737-N737)</f>
        <v>8.4112477717763534E-2</v>
      </c>
      <c r="Q737" s="53">
        <f>B$7*(1-AF737*C$7)</f>
        <v>0</v>
      </c>
      <c r="R737" s="54">
        <f>Q737+E737</f>
        <v>69.666666666666671</v>
      </c>
      <c r="S737" s="16">
        <f>(R737/D$7)^E$7</f>
        <v>0.17421448251746105</v>
      </c>
      <c r="T737" s="16">
        <f>(Q737/D$7)^E$7</f>
        <v>0</v>
      </c>
      <c r="U737" s="35">
        <f>1-EXP(T737-S737)</f>
        <v>0.15988331200899064</v>
      </c>
      <c r="V737" s="55">
        <f>B$8*(1-AG737*C$8)</f>
        <v>0</v>
      </c>
      <c r="W737" s="56">
        <f>V737+E737</f>
        <v>69.666666666666671</v>
      </c>
      <c r="X737" s="18">
        <f>(W737/D$8)^E$8</f>
        <v>8.9674731846197935E-3</v>
      </c>
      <c r="Y737" s="18">
        <f>(V737/D$8)^E$8</f>
        <v>0</v>
      </c>
      <c r="Z737" s="38">
        <f>1-EXP(Y737-X737)</f>
        <v>8.9273853154187011E-3</v>
      </c>
      <c r="AA737" s="41">
        <f>K737*P737*U737*Z737</f>
        <v>1.3060317021926209E-5</v>
      </c>
      <c r="AB737" s="42">
        <f>1-AA737</f>
        <v>0.99998693968297803</v>
      </c>
      <c r="AC737" s="47">
        <f>(AD737*F$5+AE737*F$6+AF737*F$7+AG737*F$8)+E737</f>
        <v>69.666666666666671</v>
      </c>
      <c r="AD737" s="43">
        <v>0</v>
      </c>
      <c r="AE737" s="1">
        <v>0</v>
      </c>
      <c r="AF737" s="1">
        <v>0</v>
      </c>
      <c r="AG737" s="1">
        <v>0</v>
      </c>
      <c r="AH737" s="74">
        <v>85</v>
      </c>
    </row>
    <row r="738" spans="1:34" x14ac:dyDescent="0.25">
      <c r="A738" s="76">
        <v>1</v>
      </c>
      <c r="B738" s="58">
        <v>6</v>
      </c>
      <c r="C738" s="9">
        <v>500</v>
      </c>
      <c r="D738" s="58">
        <v>5</v>
      </c>
      <c r="E738" s="48">
        <f t="shared" ref="E738:E740" si="77">B738*C738/60+D738</f>
        <v>55</v>
      </c>
      <c r="F738" s="100">
        <v>106</v>
      </c>
      <c r="G738" s="49">
        <f>H737*(1-AD738*C$5)</f>
        <v>69.666666666666671</v>
      </c>
      <c r="H738" s="50">
        <f>G738+E738</f>
        <v>124.66666666666667</v>
      </c>
      <c r="I738" s="15">
        <f>(H738/D$5)^E$5</f>
        <v>0.31517317577772647</v>
      </c>
      <c r="J738" s="15">
        <f>(G738/D$5)^E$5</f>
        <v>0.11516869637804684</v>
      </c>
      <c r="K738" s="29">
        <f>1-EXP(J738-I738)</f>
        <v>0.18127291433607728</v>
      </c>
      <c r="L738" s="51">
        <f>M737*(1-AE738*C$6)</f>
        <v>69.666666666666671</v>
      </c>
      <c r="M738" s="52">
        <f>L738+E738</f>
        <v>124.66666666666667</v>
      </c>
      <c r="N738" s="17">
        <f>(M738/D$6)^E$6</f>
        <v>0.26237549202961352</v>
      </c>
      <c r="O738" s="17">
        <f>(L738/D$6)^E$6</f>
        <v>8.7861714115895329E-2</v>
      </c>
      <c r="P738" s="32">
        <f>1-EXP(O738-N738)</f>
        <v>0.16013471744190411</v>
      </c>
      <c r="Q738" s="53">
        <f>R737*(1-AF738*C$7)</f>
        <v>69.666666666666671</v>
      </c>
      <c r="R738" s="54">
        <f>Q738+E738</f>
        <v>124.66666666666667</v>
      </c>
      <c r="S738" s="16">
        <f>(R738/D$7)^E$7</f>
        <v>0.71648445673009076</v>
      </c>
      <c r="T738" s="16">
        <f>(Q738/D$7)^E$7</f>
        <v>0.17421448251746105</v>
      </c>
      <c r="U738" s="35">
        <f>1-EXP(T738-S738)</f>
        <v>0.41857307087912443</v>
      </c>
      <c r="V738" s="55">
        <f>W737*(1-AG738*C$8)</f>
        <v>69.666666666666671</v>
      </c>
      <c r="W738" s="56">
        <f>V738+E738</f>
        <v>124.66666666666667</v>
      </c>
      <c r="X738" s="18">
        <f>(W738/D$8)^E$8</f>
        <v>3.9089951931753103E-2</v>
      </c>
      <c r="Y738" s="18">
        <f>(V738/D$8)^E$8</f>
        <v>8.9674731846197935E-3</v>
      </c>
      <c r="Z738" s="38">
        <f>1-EXP(Y738-X738)</f>
        <v>2.967331812605134E-2</v>
      </c>
      <c r="AA738" s="41">
        <f>K738*P738*U738*Z738</f>
        <v>3.6054195704698238E-4</v>
      </c>
      <c r="AB738" s="42">
        <f>1-AA738</f>
        <v>0.99963945804295307</v>
      </c>
      <c r="AC738" s="47">
        <f>AF738*F$7+E738+AC737</f>
        <v>124.66666666666667</v>
      </c>
      <c r="AD738" s="43">
        <v>0</v>
      </c>
      <c r="AE738" s="1">
        <v>0</v>
      </c>
      <c r="AF738" s="1">
        <v>0</v>
      </c>
      <c r="AG738" s="1">
        <v>0</v>
      </c>
      <c r="AH738" s="74">
        <v>110</v>
      </c>
    </row>
    <row r="739" spans="1:34" x14ac:dyDescent="0.25">
      <c r="A739" s="24">
        <v>3</v>
      </c>
      <c r="B739" s="9">
        <v>5</v>
      </c>
      <c r="C739" s="58">
        <v>500</v>
      </c>
      <c r="D739" s="58">
        <v>4</v>
      </c>
      <c r="E739" s="48">
        <f t="shared" si="77"/>
        <v>45.666666666666664</v>
      </c>
      <c r="F739" s="100">
        <v>95</v>
      </c>
      <c r="G739" s="68">
        <f>H738*(1-AD739*C$5)</f>
        <v>87.266666666666666</v>
      </c>
      <c r="H739" s="69">
        <f>G739+E739</f>
        <v>132.93333333333334</v>
      </c>
      <c r="I739" s="70">
        <f>(H739/D$5)^E$5</f>
        <v>0.35219872941851332</v>
      </c>
      <c r="J739" s="70">
        <f>(G739/D$5)^E$5</f>
        <v>0.17004695403506842</v>
      </c>
      <c r="K739" s="29">
        <f>1-EXP(J739-I739)</f>
        <v>0.16652517014650903</v>
      </c>
      <c r="L739" s="51">
        <f>M738*(1-AE739*C$6)</f>
        <v>87.266666666666666</v>
      </c>
      <c r="M739" s="52">
        <f>L739+E739</f>
        <v>132.93333333333334</v>
      </c>
      <c r="N739" s="17">
        <f>(M739/D$6)^E$6</f>
        <v>0.29603586895842493</v>
      </c>
      <c r="O739" s="17">
        <f>(L739/D$6)^E$6</f>
        <v>0.13418611561976262</v>
      </c>
      <c r="P739" s="32">
        <f>1-EXP(O739-N739)</f>
        <v>0.14943100990868496</v>
      </c>
      <c r="Q739" s="53">
        <f>R738*(1-AF739*C$7)</f>
        <v>87.266666666666666</v>
      </c>
      <c r="R739" s="54">
        <f>Q739+E739</f>
        <v>132.93333333333334</v>
      </c>
      <c r="S739" s="16">
        <f>(R739/D$7)^E$7</f>
        <v>0.83745946166039797</v>
      </c>
      <c r="T739" s="16">
        <f>(Q739/D$7)^E$7</f>
        <v>0.30115842040528412</v>
      </c>
      <c r="U739" s="35">
        <f>1-EXP(T739-S739)</f>
        <v>0.41509219429478805</v>
      </c>
      <c r="V739" s="55">
        <f>W738*(1-AG739*C$8)</f>
        <v>87.266666666666666</v>
      </c>
      <c r="W739" s="56">
        <f>V739+E739</f>
        <v>132.93333333333334</v>
      </c>
      <c r="X739" s="18">
        <f>(W739/D$8)^E$8</f>
        <v>4.5984398642962332E-2</v>
      </c>
      <c r="Y739" s="18">
        <f>(V739/D$8)^E$8</f>
        <v>1.5854887968448601E-2</v>
      </c>
      <c r="Z739" s="38">
        <f>1-EXP(Y739-X739)</f>
        <v>2.9680141368823243E-2</v>
      </c>
      <c r="AA739" s="41">
        <f>K739*P739*U739*Z739</f>
        <v>3.065710557676546E-4</v>
      </c>
      <c r="AB739" s="42">
        <f>1-AA739</f>
        <v>0.9996934289442323</v>
      </c>
      <c r="AC739" s="47">
        <f>(AF739*F$7)+E739+AC738</f>
        <v>178.33333333333334</v>
      </c>
      <c r="AD739" s="77">
        <v>1</v>
      </c>
      <c r="AE739" s="78">
        <v>1</v>
      </c>
      <c r="AF739" s="78">
        <v>1</v>
      </c>
      <c r="AG739" s="78">
        <v>1</v>
      </c>
      <c r="AH739" s="74">
        <v>67</v>
      </c>
    </row>
    <row r="740" spans="1:34" ht="15.75" thickBot="1" x14ac:dyDescent="0.3">
      <c r="A740" s="57">
        <v>2</v>
      </c>
      <c r="B740" s="58">
        <v>9</v>
      </c>
      <c r="C740" s="58">
        <v>500</v>
      </c>
      <c r="D740" s="9">
        <v>2</v>
      </c>
      <c r="E740" s="48">
        <f t="shared" si="77"/>
        <v>77</v>
      </c>
      <c r="F740" s="100">
        <v>76</v>
      </c>
      <c r="G740" s="68">
        <f>H739*(1-AD740*C$5)</f>
        <v>93.053333333333327</v>
      </c>
      <c r="H740" s="69">
        <f>G740+E740</f>
        <v>170.05333333333334</v>
      </c>
      <c r="I740" s="70">
        <f>(H740/D$5)^E$5</f>
        <v>0.5392789330539719</v>
      </c>
      <c r="J740" s="70">
        <f>(G740/D$5)^E$5</f>
        <v>0.19002353548918979</v>
      </c>
      <c r="K740" s="29">
        <f>1-EXP(J740-I740)</f>
        <v>0.294787002414027</v>
      </c>
      <c r="L740" s="51">
        <f>M739*(1-AE740*C$6)</f>
        <v>93.053333333333327</v>
      </c>
      <c r="M740" s="52">
        <f>L740+E740</f>
        <v>170.05333333333334</v>
      </c>
      <c r="N740" s="17">
        <f>(M740/D$6)^E$6</f>
        <v>0.47034084314905283</v>
      </c>
      <c r="O740" s="17">
        <f>(L740/D$6)^E$6</f>
        <v>0.15140096749268256</v>
      </c>
      <c r="P740" s="32">
        <f>1-EXP(O740-N740)</f>
        <v>0.27308074646452829</v>
      </c>
      <c r="Q740" s="53">
        <f>R739*(1-AF740*C$7)</f>
        <v>93.053333333333327</v>
      </c>
      <c r="R740" s="54">
        <f>Q740+E740</f>
        <v>170.05333333333334</v>
      </c>
      <c r="S740" s="16">
        <f>(R740/D$7)^E$7</f>
        <v>1.5235451944421441</v>
      </c>
      <c r="T740" s="16">
        <f>(Q740/D$7)^E$7</f>
        <v>0.35200759243004098</v>
      </c>
      <c r="U740" s="35">
        <f>1-EXP(T740-S740)</f>
        <v>0.6901099128680086</v>
      </c>
      <c r="V740" s="55">
        <f>W739*(1-AG740*C$8)</f>
        <v>93.053333333333327</v>
      </c>
      <c r="W740" s="56">
        <f>V740+E740</f>
        <v>170.05333333333334</v>
      </c>
      <c r="X740" s="18">
        <f>(W740/D$8)^E$8</f>
        <v>8.5742705874645803E-2</v>
      </c>
      <c r="Y740" s="18">
        <f>(V740/D$8)^E$8</f>
        <v>1.8651276165638157E-2</v>
      </c>
      <c r="Z740" s="38">
        <f>1-EXP(Y740-X740)</f>
        <v>6.4890299379634642E-2</v>
      </c>
      <c r="AA740" s="41">
        <f>K740*P740*U740*Z740</f>
        <v>3.6049351444361359E-3</v>
      </c>
      <c r="AB740" s="42">
        <f>1-AA740</f>
        <v>0.99639506485556384</v>
      </c>
      <c r="AC740" s="47">
        <f>(AF740*F$7)+E740+AC739</f>
        <v>263.33333333333337</v>
      </c>
      <c r="AD740" s="80">
        <v>1</v>
      </c>
      <c r="AE740" s="45">
        <v>1</v>
      </c>
      <c r="AF740" s="81">
        <v>1</v>
      </c>
      <c r="AG740" s="45">
        <v>1</v>
      </c>
      <c r="AH740" s="94">
        <v>40</v>
      </c>
    </row>
    <row r="741" spans="1:34" ht="18.75" x14ac:dyDescent="0.3">
      <c r="A741" s="132" t="s">
        <v>53</v>
      </c>
      <c r="B741" s="132"/>
      <c r="C741" s="132"/>
      <c r="D741" s="132"/>
      <c r="E741" s="132"/>
      <c r="F741" s="132"/>
      <c r="G741" s="132"/>
      <c r="H741" s="132"/>
      <c r="I741" s="132"/>
      <c r="J741" s="132"/>
      <c r="AG741" s="46"/>
    </row>
    <row r="742" spans="1:34" ht="15.75" x14ac:dyDescent="0.25">
      <c r="A742" s="19" t="s">
        <v>82</v>
      </c>
      <c r="B742" s="60" t="s">
        <v>49</v>
      </c>
      <c r="C742" s="61" t="s">
        <v>50</v>
      </c>
      <c r="D742" s="19" t="s">
        <v>58</v>
      </c>
      <c r="E742" s="60" t="s">
        <v>57</v>
      </c>
      <c r="F742" s="61" t="s">
        <v>50</v>
      </c>
      <c r="G742" s="19" t="s">
        <v>54</v>
      </c>
      <c r="H742" s="60" t="s">
        <v>61</v>
      </c>
      <c r="I742" s="61" t="s">
        <v>50</v>
      </c>
      <c r="J742" s="19" t="s">
        <v>48</v>
      </c>
      <c r="K742" s="83" t="s">
        <v>84</v>
      </c>
      <c r="L742" s="61" t="s">
        <v>50</v>
      </c>
      <c r="M742" s="61" t="s">
        <v>85</v>
      </c>
      <c r="O742" s="174" t="s">
        <v>64</v>
      </c>
      <c r="P742" s="174"/>
      <c r="Q742" s="175" t="s">
        <v>109</v>
      </c>
      <c r="R742" s="175"/>
    </row>
    <row r="743" spans="1:34" ht="24.75" x14ac:dyDescent="0.25">
      <c r="A743" s="61" t="s">
        <v>51</v>
      </c>
      <c r="B743" s="1">
        <f>AA737</f>
        <v>1.3060317021926209E-5</v>
      </c>
      <c r="C743" s="59">
        <f>MAX(AC737+1*L730-F737,0)</f>
        <v>0</v>
      </c>
      <c r="D743" s="62" t="s">
        <v>55</v>
      </c>
      <c r="E743" s="1">
        <f>AA737*AA738</f>
        <v>4.7087922587392923E-9</v>
      </c>
      <c r="F743" s="1">
        <f>MAX(AC738+2*L730-F738,0)</f>
        <v>42.666666666666686</v>
      </c>
      <c r="G743" s="62" t="s">
        <v>59</v>
      </c>
      <c r="H743" s="1">
        <f>AA737*AA738*AA739</f>
        <v>1.4435794141522638E-12</v>
      </c>
      <c r="I743" s="1">
        <f>AC739+3*L730-F739</f>
        <v>119.33333333333334</v>
      </c>
      <c r="J743" s="62" t="s">
        <v>83</v>
      </c>
      <c r="K743" s="1">
        <f>AA737*AA738*AA739*AA740</f>
        <v>5.2040101638620239E-15</v>
      </c>
      <c r="L743" s="1">
        <f>AC740+4*L730-F740</f>
        <v>235.33333333333337</v>
      </c>
      <c r="M743" s="1">
        <f>B743*C743*AH737+E743*F743*AH738+H743*I743*AH739+K743*L743*AH740</f>
        <v>2.2111522553374715E-5</v>
      </c>
      <c r="O743" s="1" t="s">
        <v>27</v>
      </c>
      <c r="P743" s="1">
        <f>2*H728</f>
        <v>3640</v>
      </c>
      <c r="Q743" s="1">
        <f>(K737*(1-P737)*(1-U737)*(1-Z737))+(P737*(1-K737)*(1-U737)*(1-Z737))+(U737*(1-K737)*(1-P737)*(1-Z737))+(Z737*(1-K737)*(1-P737)*(1-U737))</f>
        <v>0.28083409477630866</v>
      </c>
      <c r="R743" s="1">
        <f>Q743*(L$7*(J$5*K$5+L$5)+I$5)</f>
        <v>9897.9976703909997</v>
      </c>
    </row>
    <row r="744" spans="1:34" ht="24.75" x14ac:dyDescent="0.25">
      <c r="A744" s="62" t="s">
        <v>52</v>
      </c>
      <c r="B744" s="1">
        <f>AB737</f>
        <v>0.99998693968297803</v>
      </c>
      <c r="C744" s="59">
        <f>MAX(AC737-F737,0)</f>
        <v>0</v>
      </c>
      <c r="D744" s="62" t="s">
        <v>56</v>
      </c>
      <c r="E744" s="1">
        <f>AA737*AB738+AA738*AB737</f>
        <v>3.7359285648439107E-4</v>
      </c>
      <c r="F744" s="1">
        <f>MAX(AC738+1*L730-F738,0)</f>
        <v>30.666666666666686</v>
      </c>
      <c r="G744" s="62" t="s">
        <v>60</v>
      </c>
      <c r="H744" s="1">
        <f>AA737*AA738*AB739+AA738*AA739*AB737+AA737*AA739*AB738</f>
        <v>1.192401051189988E-7</v>
      </c>
      <c r="I744" s="1">
        <f>AC739+2*L730-F739</f>
        <v>107.33333333333334</v>
      </c>
      <c r="J744" s="62" t="s">
        <v>59</v>
      </c>
      <c r="K744">
        <f>AB737*AA738*AA739*AA740+AB738*AA737*AA739*AA740*+AB739*AA737*AA738*AA740+AB740*AA737*AA738*AA739</f>
        <v>3.9989288375214705E-10</v>
      </c>
      <c r="L744" s="1">
        <f>AC740+3*L730-F740</f>
        <v>223.33333333333337</v>
      </c>
      <c r="M744" s="1">
        <f>B744*C744*AH737+E744*F744*AH738+H744*I744*AH739+K744*L744*AH740</f>
        <v>1.2611143035930539</v>
      </c>
      <c r="O744" s="1" t="s">
        <v>28</v>
      </c>
      <c r="P744" s="1">
        <f>2*H729</f>
        <v>5440</v>
      </c>
      <c r="Q744" s="1">
        <f t="shared" ref="Q744:Q746" si="78">(K738*(1-P738)*(1-U738)*(1-Z738))+(P738*(1-K738)*(1-U738)*(1-Z738))+(U738*(1-K738)*(1-P738)*(1-Z738))+(Z738*(1-K738)*(1-P738)*(1-U738))</f>
        <v>0.45100181571012737</v>
      </c>
      <c r="R744" s="1">
        <f t="shared" ref="R744:R746" si="79">Q744*(L$7*(J$5*K$5+L$5)+I$5)</f>
        <v>15895.558994703439</v>
      </c>
    </row>
    <row r="745" spans="1:34" ht="24.75" x14ac:dyDescent="0.25">
      <c r="A745" s="1"/>
      <c r="B745" s="1"/>
      <c r="C745" s="1"/>
      <c r="D745" s="62" t="s">
        <v>52</v>
      </c>
      <c r="E745" s="1">
        <f>AB737*AB738</f>
        <v>0.99962640243472334</v>
      </c>
      <c r="F745" s="59">
        <f>MAX(AC738-F738,0)</f>
        <v>18.666666666666671</v>
      </c>
      <c r="G745" s="62" t="s">
        <v>56</v>
      </c>
      <c r="H745" s="1">
        <f>AA737*AB738*AB739+AA738*AB737*AB739*+AA739*AB737*AB738</f>
        <v>1.3162060876337901E-5</v>
      </c>
      <c r="I745" s="1">
        <f>AC739+1*L730-F739</f>
        <v>95.333333333333343</v>
      </c>
      <c r="J745" s="62" t="s">
        <v>60</v>
      </c>
      <c r="K745" s="1">
        <f>AA737*AA738*AB739*AB740 + AA737*AA739*AB738*AB740 + AA737*AA740*AB738*AB739 + AA738*AA739*AB737*AB740 + AA738*AA740*AB737*AB739 + AA739*AA740*AB737*AB738</f>
        <v>2.5699312720062372E-6</v>
      </c>
      <c r="L745" s="1">
        <f>AC740+2*L730-F740</f>
        <v>211.33333333333337</v>
      </c>
      <c r="M745" s="1">
        <f>B745*C745*AH737+E745*F745*AH738+H745*I745*AH739+K745*L745*AH740</f>
        <v>2052.672007955156</v>
      </c>
      <c r="O745" s="1" t="s">
        <v>29</v>
      </c>
      <c r="P745" s="1">
        <f>2*(F730*(J728*K728+L728)+H730)</f>
        <v>28200</v>
      </c>
      <c r="Q745" s="1">
        <f t="shared" si="78"/>
        <v>0.44891796901450087</v>
      </c>
      <c r="R745" s="1">
        <f t="shared" si="79"/>
        <v>15822.113817916083</v>
      </c>
    </row>
    <row r="746" spans="1:34" ht="24.75" x14ac:dyDescent="0.25">
      <c r="A746" s="1"/>
      <c r="B746" s="1"/>
      <c r="C746" s="1"/>
      <c r="D746" s="1"/>
      <c r="E746" s="1"/>
      <c r="F746" s="1"/>
      <c r="G746" s="62" t="s">
        <v>52</v>
      </c>
      <c r="H746" s="1">
        <f>AB737*AB738*AB739</f>
        <v>0.99931994591315565</v>
      </c>
      <c r="I746" s="63">
        <f>AC739-F739</f>
        <v>83.333333333333343</v>
      </c>
      <c r="J746" s="62" t="s">
        <v>56</v>
      </c>
      <c r="K746" s="1">
        <f>AA737*AB738*AB739*AB740+AA738*AB737*AB739*AB740+AA739*AB737*AB738*AB740+AA740*AB737*AB738*AB739</f>
        <v>4.2799673178342077E-3</v>
      </c>
      <c r="L746" s="1">
        <f>AC740+1*L730-F740</f>
        <v>199.33333333333337</v>
      </c>
      <c r="M746" s="1">
        <f>B746*C746*AH737+E746*F746*AH738+H746*I746*AH739+K746*L746*AH740</f>
        <v>5613.6619707626514</v>
      </c>
      <c r="O746" s="1" t="s">
        <v>30</v>
      </c>
      <c r="P746" s="1">
        <f>2*H731</f>
        <v>8640</v>
      </c>
      <c r="Q746" s="1">
        <f t="shared" si="78"/>
        <v>0.45902733034332222</v>
      </c>
      <c r="R746" s="1">
        <f t="shared" si="79"/>
        <v>16178.418257950392</v>
      </c>
    </row>
    <row r="747" spans="1:34" ht="30" x14ac:dyDescent="0.25">
      <c r="I747" s="84"/>
      <c r="J747" s="62" t="s">
        <v>52</v>
      </c>
      <c r="K747" s="85">
        <f>AB737*AB738*AB739*AB740</f>
        <v>0.99571746231959724</v>
      </c>
      <c r="L747" s="1">
        <f>AC740+0*L730-F740</f>
        <v>187.33333333333337</v>
      </c>
      <c r="M747" s="1">
        <f>B747*C747*AH737+E747*F747*AH738+H747*I747*AH739+K747*L747*AH740</f>
        <v>7461.2428509815163</v>
      </c>
      <c r="O747" s="64" t="s">
        <v>65</v>
      </c>
      <c r="P747" s="65">
        <f>SUM(P743:P746)</f>
        <v>45920</v>
      </c>
      <c r="Q747" s="96" t="s">
        <v>108</v>
      </c>
      <c r="R747" s="97">
        <f>SUM(R743:R746)</f>
        <v>57794.088740960913</v>
      </c>
    </row>
    <row r="748" spans="1:34" x14ac:dyDescent="0.25">
      <c r="L748" s="176" t="s">
        <v>63</v>
      </c>
      <c r="M748" s="177">
        <f>SUM(M743:M747)</f>
        <v>15128.837966114439</v>
      </c>
    </row>
    <row r="749" spans="1:34" x14ac:dyDescent="0.25">
      <c r="L749" s="176"/>
      <c r="M749" s="177"/>
    </row>
    <row r="750" spans="1:34" x14ac:dyDescent="0.25">
      <c r="A750" s="178" t="s">
        <v>90</v>
      </c>
      <c r="B750" s="178"/>
      <c r="C750" s="178"/>
      <c r="D750" s="178"/>
      <c r="E750" s="178"/>
      <c r="F750" s="178"/>
      <c r="G750" s="178"/>
      <c r="H750" s="178"/>
      <c r="I750" s="178"/>
      <c r="J750" s="178"/>
      <c r="K750" s="178"/>
      <c r="L750" s="178"/>
      <c r="M750" s="178"/>
      <c r="N750" s="178"/>
    </row>
    <row r="751" spans="1:34" ht="15.75" x14ac:dyDescent="0.25">
      <c r="A751" s="87" t="s">
        <v>86</v>
      </c>
      <c r="B751" s="62" t="s">
        <v>49</v>
      </c>
      <c r="C751" s="90" t="s">
        <v>103</v>
      </c>
      <c r="D751" s="62" t="s">
        <v>88</v>
      </c>
      <c r="E751" s="87" t="s">
        <v>77</v>
      </c>
      <c r="F751" s="62" t="s">
        <v>57</v>
      </c>
      <c r="G751" s="90" t="s">
        <v>78</v>
      </c>
      <c r="H751" s="62" t="s">
        <v>88</v>
      </c>
      <c r="I751" s="87" t="s">
        <v>76</v>
      </c>
      <c r="J751" s="62" t="s">
        <v>61</v>
      </c>
      <c r="K751" s="90" t="s">
        <v>87</v>
      </c>
      <c r="L751" s="62" t="s">
        <v>88</v>
      </c>
      <c r="M751" s="87" t="s">
        <v>75</v>
      </c>
      <c r="N751" s="62" t="s">
        <v>84</v>
      </c>
      <c r="O751" s="90" t="s">
        <v>102</v>
      </c>
      <c r="P751" s="62" t="s">
        <v>88</v>
      </c>
    </row>
    <row r="752" spans="1:34" ht="24.75" x14ac:dyDescent="0.25">
      <c r="A752" s="62" t="s">
        <v>51</v>
      </c>
      <c r="B752" s="86">
        <v>1.3060317021926209E-5</v>
      </c>
      <c r="C752" s="86">
        <f>AC737+1*L730</f>
        <v>81.666666666666671</v>
      </c>
      <c r="D752" s="86">
        <f>MAX(B752*1.5*((C752-F737)*500/2),0)</f>
        <v>0</v>
      </c>
      <c r="E752" s="62" t="s">
        <v>55</v>
      </c>
      <c r="F752" s="86">
        <v>4.7087922587392923E-9</v>
      </c>
      <c r="G752" s="86">
        <f>AC738+2*L730</f>
        <v>148.66666666666669</v>
      </c>
      <c r="H752" s="86">
        <f>F752*1.5*((G752-F738)*500/2+(G752-F739)*500+(G752-F740)*500)</f>
        <v>5.2149874265537677E-4</v>
      </c>
      <c r="I752" s="62" t="s">
        <v>59</v>
      </c>
      <c r="J752" s="86">
        <v>1.4435794141522638E-12</v>
      </c>
      <c r="K752" s="86">
        <f>AC739+3*L730</f>
        <v>214.33333333333334</v>
      </c>
      <c r="L752" s="86">
        <f>J752*1.5*((K752-G752)*500/2+(K752-G752)*500)</f>
        <v>1.0664442922049847E-7</v>
      </c>
      <c r="M752" s="62" t="s">
        <v>83</v>
      </c>
      <c r="N752" s="86">
        <v>5.2040101638620239E-15</v>
      </c>
      <c r="O752" s="86">
        <f>AC740+4*L730</f>
        <v>311.33333333333337</v>
      </c>
      <c r="P752" s="86">
        <f>N752*1.5*((O752-K752)*500/2)</f>
        <v>1.8929586971048119E-10</v>
      </c>
    </row>
    <row r="753" spans="1:22" ht="24.75" x14ac:dyDescent="0.25">
      <c r="A753" s="62" t="s">
        <v>52</v>
      </c>
      <c r="B753" s="86">
        <v>0.99998693968297803</v>
      </c>
      <c r="C753" s="88">
        <f>AC737</f>
        <v>69.666666666666671</v>
      </c>
      <c r="D753" s="86">
        <f>MAX(B753*1.5*((C753-F737)*500/2),0)</f>
        <v>0</v>
      </c>
      <c r="E753" s="62" t="s">
        <v>56</v>
      </c>
      <c r="F753" s="86">
        <v>3.7359285648439107E-4</v>
      </c>
      <c r="G753" s="86">
        <f>AC738+1*L730</f>
        <v>136.66666666666669</v>
      </c>
      <c r="H753" s="86">
        <f>F753*1.5*((G753-F738)*500/2+(G753-F739)*500+(G753-F740)*500)</f>
        <v>32.969569584747525</v>
      </c>
      <c r="I753" s="62" t="s">
        <v>60</v>
      </c>
      <c r="J753" s="86">
        <v>1.192401051189988E-7</v>
      </c>
      <c r="K753" s="86">
        <f>AC739+2*L730</f>
        <v>202.33333333333334</v>
      </c>
      <c r="L753" s="86">
        <f>J753*1.5*((K753-G753)*500/2+(K753-G753)*500)</f>
        <v>8.8088627656660347E-3</v>
      </c>
      <c r="M753" s="62" t="s">
        <v>59</v>
      </c>
      <c r="N753" s="86">
        <v>3.9989288375214705E-10</v>
      </c>
      <c r="O753" s="86">
        <f>AC740+3*L730</f>
        <v>299.33333333333337</v>
      </c>
      <c r="P753" s="86">
        <f>N753*1.5*((O753-K753)*500/2)</f>
        <v>1.4546103646484354E-5</v>
      </c>
    </row>
    <row r="754" spans="1:22" x14ac:dyDescent="0.25">
      <c r="A754" s="86"/>
      <c r="B754" s="86"/>
      <c r="C754" s="89" t="s">
        <v>89</v>
      </c>
      <c r="D754" s="89">
        <f>SUM(D752:D753)</f>
        <v>0</v>
      </c>
      <c r="E754" s="62" t="s">
        <v>52</v>
      </c>
      <c r="F754" s="86">
        <v>0.99962640243472334</v>
      </c>
      <c r="G754" s="86">
        <f>AC738+0*L730</f>
        <v>124.66666666666667</v>
      </c>
      <c r="H754" s="86">
        <f>F754*1.5*((G754-F738)*500/2+(G754-F739)*500+(G754-F740)*500)</f>
        <v>65725.435960083065</v>
      </c>
      <c r="I754" s="62" t="s">
        <v>56</v>
      </c>
      <c r="J754" s="86">
        <v>1.3162060876337901E-5</v>
      </c>
      <c r="K754" s="86">
        <f>AC739+1*L730</f>
        <v>190.33333333333334</v>
      </c>
      <c r="L754" s="86">
        <f>J754*1.5*((K754-G754)*500/2+(K754-G754)*500)</f>
        <v>0.97234724723946253</v>
      </c>
      <c r="M754" s="62" t="s">
        <v>60</v>
      </c>
      <c r="N754" s="86">
        <v>2.5699312720062372E-6</v>
      </c>
      <c r="O754" s="86">
        <f>AC740+2*L730</f>
        <v>287.33333333333337</v>
      </c>
      <c r="P754" s="86">
        <f>N754*1.5*((O754-K754)*500/2)</f>
        <v>9.3481250019226914E-2</v>
      </c>
    </row>
    <row r="755" spans="1:22" x14ac:dyDescent="0.25">
      <c r="A755" s="86"/>
      <c r="B755" s="86"/>
      <c r="C755" s="86"/>
      <c r="D755" s="86"/>
      <c r="E755" s="86"/>
      <c r="F755" s="86"/>
      <c r="G755" s="89" t="s">
        <v>79</v>
      </c>
      <c r="H755" s="89">
        <f>SUM(H752:H754)</f>
        <v>65758.406051166559</v>
      </c>
      <c r="I755" s="62" t="s">
        <v>52</v>
      </c>
      <c r="J755" s="86">
        <v>0.99931994591315565</v>
      </c>
      <c r="K755" s="86">
        <f>AC739+0*L730</f>
        <v>178.33333333333334</v>
      </c>
      <c r="L755" s="86">
        <f>J755*1.5*((K755-G754)*500/2+(K755-G754)*500)</f>
        <v>60333.94173450677</v>
      </c>
      <c r="M755" s="62" t="s">
        <v>56</v>
      </c>
      <c r="N755" s="86">
        <v>4.2799673178342077E-3</v>
      </c>
      <c r="O755" s="86">
        <f>AC740+1*L730</f>
        <v>275.33333333333337</v>
      </c>
      <c r="P755" s="86">
        <f>N755*1.5*((O755-K755)*500/2)</f>
        <v>155.68381118621934</v>
      </c>
    </row>
    <row r="756" spans="1:22" x14ac:dyDescent="0.25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9" t="s">
        <v>79</v>
      </c>
      <c r="L756" s="89">
        <f>SUM(L752:L755)</f>
        <v>60334.922890723421</v>
      </c>
      <c r="M756" s="62" t="s">
        <v>52</v>
      </c>
      <c r="N756" s="86">
        <v>0.99571746231959724</v>
      </c>
      <c r="O756" s="86">
        <f>AC740+0*L730</f>
        <v>263.33333333333337</v>
      </c>
      <c r="P756" s="86">
        <f>N756*1.5*((O756-K755)*500/2)</f>
        <v>31738.494111437172</v>
      </c>
      <c r="Q756" s="179" t="s">
        <v>80</v>
      </c>
      <c r="R756" s="179"/>
      <c r="S756" s="180">
        <f>D754+H755+L756+P757</f>
        <v>157987.60036030968</v>
      </c>
      <c r="T756" s="180"/>
    </row>
    <row r="757" spans="1:22" x14ac:dyDescent="0.25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9" t="s">
        <v>79</v>
      </c>
      <c r="P757" s="89">
        <f>SUM(P752:P756)</f>
        <v>31894.271418419703</v>
      </c>
      <c r="Q757" s="179"/>
      <c r="R757" s="179"/>
      <c r="S757" s="180"/>
      <c r="T757" s="180"/>
    </row>
    <row r="758" spans="1:22" x14ac:dyDescent="0.25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</row>
    <row r="759" spans="1:22" x14ac:dyDescent="0.25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</row>
    <row r="760" spans="1:22" x14ac:dyDescent="0.25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</row>
    <row r="761" spans="1:22" ht="24.75" thickBot="1" x14ac:dyDescent="0.3">
      <c r="O761" s="131" t="s">
        <v>81</v>
      </c>
      <c r="P761" s="131"/>
      <c r="Q761" s="131">
        <f>(R747+P747+M748+S756)/AC740</f>
        <v>1051.2551660786771</v>
      </c>
      <c r="R761" s="131"/>
    </row>
    <row r="762" spans="1:22" x14ac:dyDescent="0.25">
      <c r="A762" s="181" t="s">
        <v>125</v>
      </c>
      <c r="B762" s="182"/>
    </row>
    <row r="763" spans="1:22" ht="15.75" thickBot="1" x14ac:dyDescent="0.3">
      <c r="A763" s="183"/>
      <c r="B763" s="184"/>
    </row>
    <row r="764" spans="1:22" ht="21" x14ac:dyDescent="0.35">
      <c r="A764" s="185" t="s">
        <v>14</v>
      </c>
      <c r="B764" s="185"/>
      <c r="C764" s="165"/>
      <c r="D764" s="165"/>
      <c r="E764" s="165"/>
      <c r="F764" s="165"/>
      <c r="G764" s="165"/>
      <c r="H764" s="165"/>
      <c r="I764" s="165"/>
      <c r="J764" s="165"/>
      <c r="K764" s="165"/>
      <c r="L764" s="165"/>
      <c r="M764" s="165"/>
      <c r="O764" s="166" t="s">
        <v>72</v>
      </c>
      <c r="P764" s="166"/>
      <c r="Q764" s="166"/>
      <c r="R764" s="166"/>
      <c r="S764" s="166"/>
      <c r="T764" s="166"/>
      <c r="U764" s="166"/>
      <c r="V764" s="166"/>
    </row>
    <row r="765" spans="1:22" ht="36" x14ac:dyDescent="0.25">
      <c r="A765" s="4" t="s">
        <v>15</v>
      </c>
      <c r="B765" s="4" t="s">
        <v>16</v>
      </c>
      <c r="C765" s="4" t="s">
        <v>31</v>
      </c>
      <c r="D765" s="6" t="s">
        <v>17</v>
      </c>
      <c r="E765" s="6" t="s">
        <v>18</v>
      </c>
      <c r="F765" s="6" t="s">
        <v>19</v>
      </c>
      <c r="G765" s="6" t="s">
        <v>20</v>
      </c>
      <c r="H765" s="6" t="s">
        <v>21</v>
      </c>
      <c r="I765" s="6" t="s">
        <v>22</v>
      </c>
      <c r="J765" s="6" t="s">
        <v>23</v>
      </c>
      <c r="K765" s="6" t="s">
        <v>24</v>
      </c>
      <c r="L765" s="6" t="s">
        <v>25</v>
      </c>
      <c r="M765" s="6" t="s">
        <v>26</v>
      </c>
      <c r="N765" s="8"/>
      <c r="O765" s="167" t="s">
        <v>32</v>
      </c>
      <c r="P765" s="167" t="s">
        <v>35</v>
      </c>
      <c r="Q765" s="167" t="s">
        <v>66</v>
      </c>
      <c r="R765" s="99" t="s">
        <v>67</v>
      </c>
      <c r="S765" s="99" t="s">
        <v>68</v>
      </c>
      <c r="T765" s="167" t="s">
        <v>69</v>
      </c>
      <c r="U765" s="71" t="s">
        <v>33</v>
      </c>
      <c r="V765" s="99" t="s">
        <v>70</v>
      </c>
    </row>
    <row r="766" spans="1:22" x14ac:dyDescent="0.25">
      <c r="A766" s="3" t="s">
        <v>27</v>
      </c>
      <c r="B766" s="3">
        <v>0</v>
      </c>
      <c r="C766" s="3">
        <v>0.3</v>
      </c>
      <c r="D766" s="3">
        <v>243</v>
      </c>
      <c r="E766" s="3">
        <v>1.73</v>
      </c>
      <c r="F766" s="3">
        <v>5</v>
      </c>
      <c r="G766" s="169">
        <v>12</v>
      </c>
      <c r="H766" s="3">
        <v>1820</v>
      </c>
      <c r="I766" s="169">
        <v>19645</v>
      </c>
      <c r="J766" s="3">
        <v>20</v>
      </c>
      <c r="K766" s="3">
        <v>40</v>
      </c>
      <c r="L766" s="3">
        <v>500</v>
      </c>
      <c r="M766" s="3">
        <v>1000</v>
      </c>
      <c r="O766" s="168"/>
      <c r="P766" s="168"/>
      <c r="Q766" s="168"/>
      <c r="R766" s="72" t="s">
        <v>71</v>
      </c>
      <c r="S766" s="72" t="s">
        <v>71</v>
      </c>
      <c r="T766" s="168"/>
      <c r="U766" s="73">
        <v>500</v>
      </c>
      <c r="V766" s="3">
        <v>1.5</v>
      </c>
    </row>
    <row r="767" spans="1:22" x14ac:dyDescent="0.25">
      <c r="A767" s="3" t="s">
        <v>28</v>
      </c>
      <c r="B767" s="3">
        <v>0</v>
      </c>
      <c r="C767" s="3">
        <v>0.3</v>
      </c>
      <c r="D767" s="3">
        <v>254</v>
      </c>
      <c r="E767" s="3">
        <v>1.88</v>
      </c>
      <c r="F767" s="3">
        <v>3</v>
      </c>
      <c r="G767" s="170"/>
      <c r="H767" s="3">
        <v>2720</v>
      </c>
      <c r="I767" s="170"/>
      <c r="J767" s="5"/>
      <c r="K767" s="5"/>
      <c r="L767" s="5"/>
      <c r="M767" s="5"/>
      <c r="O767" s="74">
        <v>1</v>
      </c>
      <c r="P767" s="74">
        <v>106</v>
      </c>
      <c r="Q767" s="74">
        <v>110</v>
      </c>
      <c r="R767" s="74">
        <v>6</v>
      </c>
      <c r="S767" s="74">
        <v>5</v>
      </c>
      <c r="T767" s="74">
        <f>R767*$U$5/60+S767</f>
        <v>55</v>
      </c>
      <c r="U767" s="75"/>
    </row>
    <row r="768" spans="1:22" x14ac:dyDescent="0.25">
      <c r="A768" s="3" t="s">
        <v>29</v>
      </c>
      <c r="B768" s="3">
        <v>0</v>
      </c>
      <c r="C768" s="3">
        <v>0.3</v>
      </c>
      <c r="D768" s="3">
        <v>143</v>
      </c>
      <c r="E768" s="3">
        <v>2.4300000000000002</v>
      </c>
      <c r="F768" s="3">
        <v>8</v>
      </c>
      <c r="G768" s="170"/>
      <c r="H768" s="3">
        <v>3700</v>
      </c>
      <c r="I768" s="170"/>
      <c r="J768" s="5"/>
      <c r="K768" s="140" t="s">
        <v>73</v>
      </c>
      <c r="L768" s="141">
        <v>12</v>
      </c>
      <c r="M768" s="140" t="s">
        <v>74</v>
      </c>
      <c r="N768" s="141">
        <v>19645</v>
      </c>
      <c r="O768" s="74">
        <v>2</v>
      </c>
      <c r="P768" s="74">
        <v>76</v>
      </c>
      <c r="Q768" s="74">
        <v>40</v>
      </c>
      <c r="R768" s="74">
        <v>9</v>
      </c>
      <c r="S768" s="74">
        <v>2</v>
      </c>
      <c r="T768" s="74">
        <f t="shared" ref="T768:T770" si="80">R768*$U$5/60+S768</f>
        <v>77</v>
      </c>
      <c r="U768" s="75"/>
    </row>
    <row r="769" spans="1:34" x14ac:dyDescent="0.25">
      <c r="A769" s="3" t="s">
        <v>30</v>
      </c>
      <c r="B769" s="3">
        <v>0</v>
      </c>
      <c r="C769" s="3">
        <v>0.3</v>
      </c>
      <c r="D769" s="3">
        <v>449</v>
      </c>
      <c r="E769" s="3">
        <v>2.5299999999999998</v>
      </c>
      <c r="F769" s="3">
        <v>4</v>
      </c>
      <c r="G769" s="171"/>
      <c r="H769" s="3">
        <v>4320</v>
      </c>
      <c r="I769" s="171"/>
      <c r="J769" s="5"/>
      <c r="K769" s="140"/>
      <c r="L769" s="141"/>
      <c r="M769" s="140"/>
      <c r="N769" s="141"/>
      <c r="O769" s="74">
        <v>3</v>
      </c>
      <c r="P769" s="74">
        <v>95</v>
      </c>
      <c r="Q769" s="74">
        <v>67</v>
      </c>
      <c r="R769" s="74">
        <v>5</v>
      </c>
      <c r="S769" s="74">
        <v>4</v>
      </c>
      <c r="T769" s="74">
        <f t="shared" si="80"/>
        <v>45.666666666666664</v>
      </c>
      <c r="U769" s="75"/>
    </row>
    <row r="770" spans="1:34" ht="15.75" thickBo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O770" s="74">
        <v>4</v>
      </c>
      <c r="P770" s="74">
        <v>140</v>
      </c>
      <c r="Q770" s="94">
        <v>85</v>
      </c>
      <c r="R770" s="94">
        <v>8</v>
      </c>
      <c r="S770" s="94">
        <v>3</v>
      </c>
      <c r="T770" s="74">
        <f t="shared" si="80"/>
        <v>69.666666666666671</v>
      </c>
    </row>
    <row r="771" spans="1:34" ht="15" customHeight="1" x14ac:dyDescent="0.25">
      <c r="A771" s="142" t="s">
        <v>100</v>
      </c>
      <c r="B771" s="144" t="s">
        <v>129</v>
      </c>
      <c r="C771" s="144"/>
      <c r="D771" s="144"/>
      <c r="E771" s="144"/>
      <c r="F771" s="20" t="s">
        <v>27</v>
      </c>
      <c r="G771" s="20" t="s">
        <v>28</v>
      </c>
      <c r="H771" s="20" t="s">
        <v>29</v>
      </c>
      <c r="I771" s="20" t="s">
        <v>30</v>
      </c>
    </row>
    <row r="772" spans="1:34" ht="15.75" customHeight="1" thickBot="1" x14ac:dyDescent="0.3">
      <c r="A772" s="143"/>
      <c r="B772" s="145"/>
      <c r="C772" s="145"/>
      <c r="D772" s="145"/>
      <c r="E772" s="145"/>
      <c r="F772" s="20">
        <v>91</v>
      </c>
      <c r="G772" s="26">
        <v>91</v>
      </c>
      <c r="H772" s="26">
        <v>91</v>
      </c>
      <c r="I772" s="26">
        <v>91</v>
      </c>
    </row>
    <row r="773" spans="1:34" ht="15.75" customHeight="1" thickBot="1" x14ac:dyDescent="0.3">
      <c r="A773" s="143"/>
      <c r="B773" s="145"/>
      <c r="C773" s="145"/>
      <c r="D773" s="145"/>
      <c r="E773" s="145"/>
      <c r="F773" s="7"/>
      <c r="G773" s="146" t="s">
        <v>27</v>
      </c>
      <c r="H773" s="147"/>
      <c r="I773" s="147"/>
      <c r="J773" s="147"/>
      <c r="K773" s="148"/>
      <c r="L773" s="149" t="s">
        <v>28</v>
      </c>
      <c r="M773" s="150"/>
      <c r="N773" s="150"/>
      <c r="O773" s="150"/>
      <c r="P773" s="151"/>
      <c r="Q773" s="152" t="s">
        <v>29</v>
      </c>
      <c r="R773" s="153"/>
      <c r="S773" s="153"/>
      <c r="T773" s="153"/>
      <c r="U773" s="154"/>
      <c r="V773" s="155" t="s">
        <v>30</v>
      </c>
      <c r="W773" s="156"/>
      <c r="X773" s="156"/>
      <c r="Y773" s="156"/>
      <c r="Z773" s="157"/>
      <c r="AA773" s="158" t="s">
        <v>42</v>
      </c>
      <c r="AB773" s="159"/>
      <c r="AC773" s="160" t="s">
        <v>44</v>
      </c>
      <c r="AD773" s="162" t="s">
        <v>47</v>
      </c>
      <c r="AE773" s="163"/>
      <c r="AF773" s="163"/>
      <c r="AG773" s="164"/>
      <c r="AH773" s="138" t="s">
        <v>62</v>
      </c>
    </row>
    <row r="774" spans="1:34" ht="36.75" x14ac:dyDescent="0.25">
      <c r="A774" s="21" t="s">
        <v>32</v>
      </c>
      <c r="B774" s="22" t="s">
        <v>37</v>
      </c>
      <c r="C774" s="23" t="s">
        <v>33</v>
      </c>
      <c r="D774" s="22" t="s">
        <v>38</v>
      </c>
      <c r="E774" s="22" t="s">
        <v>34</v>
      </c>
      <c r="F774" s="25" t="s">
        <v>35</v>
      </c>
      <c r="G774" s="27" t="s">
        <v>39</v>
      </c>
      <c r="H774" s="10" t="s">
        <v>40</v>
      </c>
      <c r="I774" s="10" t="s">
        <v>45</v>
      </c>
      <c r="J774" s="10" t="s">
        <v>46</v>
      </c>
      <c r="K774" s="28" t="s">
        <v>41</v>
      </c>
      <c r="L774" s="30" t="s">
        <v>39</v>
      </c>
      <c r="M774" s="13" t="s">
        <v>40</v>
      </c>
      <c r="N774" s="13" t="s">
        <v>45</v>
      </c>
      <c r="O774" s="13" t="s">
        <v>46</v>
      </c>
      <c r="P774" s="31" t="s">
        <v>41</v>
      </c>
      <c r="Q774" s="33" t="s">
        <v>39</v>
      </c>
      <c r="R774" s="12" t="s">
        <v>40</v>
      </c>
      <c r="S774" s="12" t="s">
        <v>45</v>
      </c>
      <c r="T774" s="12" t="s">
        <v>46</v>
      </c>
      <c r="U774" s="34" t="s">
        <v>41</v>
      </c>
      <c r="V774" s="36" t="s">
        <v>39</v>
      </c>
      <c r="W774" s="11" t="s">
        <v>40</v>
      </c>
      <c r="X774" s="11" t="s">
        <v>45</v>
      </c>
      <c r="Y774" s="11" t="s">
        <v>46</v>
      </c>
      <c r="Z774" s="37" t="s">
        <v>41</v>
      </c>
      <c r="AA774" s="39" t="s">
        <v>41</v>
      </c>
      <c r="AB774" s="40" t="s">
        <v>43</v>
      </c>
      <c r="AC774" s="161"/>
      <c r="AD774" s="43" t="s">
        <v>27</v>
      </c>
      <c r="AE774" s="1" t="s">
        <v>28</v>
      </c>
      <c r="AF774" s="1" t="s">
        <v>29</v>
      </c>
      <c r="AG774" s="1" t="s">
        <v>30</v>
      </c>
      <c r="AH774" s="139"/>
    </row>
    <row r="775" spans="1:34" x14ac:dyDescent="0.25">
      <c r="A775" s="24">
        <v>4</v>
      </c>
      <c r="B775" s="9">
        <v>8</v>
      </c>
      <c r="C775" s="9">
        <v>500</v>
      </c>
      <c r="D775" s="9">
        <v>3</v>
      </c>
      <c r="E775" s="48">
        <f>B775*C775/60+D775</f>
        <v>69.666666666666671</v>
      </c>
      <c r="F775" s="100">
        <v>140</v>
      </c>
      <c r="G775" s="49">
        <f>B$5*(1-AD775*C$5)</f>
        <v>0</v>
      </c>
      <c r="H775" s="50">
        <f>G775+E775</f>
        <v>69.666666666666671</v>
      </c>
      <c r="I775" s="15">
        <f>(H775/D$5)^E$5</f>
        <v>0.11516869637804684</v>
      </c>
      <c r="J775" s="15">
        <f>(G775/D$5)^E$5</f>
        <v>0</v>
      </c>
      <c r="K775" s="29">
        <f>1-EXP(J775-I775)</f>
        <v>0.10878421365041502</v>
      </c>
      <c r="L775" s="51">
        <f>B$6*(1-AE775*C$6)</f>
        <v>0</v>
      </c>
      <c r="M775" s="52">
        <f>L775+E775</f>
        <v>69.666666666666671</v>
      </c>
      <c r="N775" s="17">
        <f>(M775/D$6)^E$6</f>
        <v>8.7861714115895329E-2</v>
      </c>
      <c r="O775" s="17">
        <f>(L775/D$6)^E$6</f>
        <v>0</v>
      </c>
      <c r="P775" s="32">
        <f>1-EXP(O775-N775)</f>
        <v>8.4112477717763534E-2</v>
      </c>
      <c r="Q775" s="53">
        <f>B$7*(1-AF775*C$7)</f>
        <v>0</v>
      </c>
      <c r="R775" s="54">
        <f>Q775+E775</f>
        <v>69.666666666666671</v>
      </c>
      <c r="S775" s="16">
        <f>(R775/D$7)^E$7</f>
        <v>0.17421448251746105</v>
      </c>
      <c r="T775" s="16">
        <f>(Q775/D$7)^E$7</f>
        <v>0</v>
      </c>
      <c r="U775" s="35">
        <f>1-EXP(T775-S775)</f>
        <v>0.15988331200899064</v>
      </c>
      <c r="V775" s="55">
        <f>B$8*(1-AG775*C$8)</f>
        <v>0</v>
      </c>
      <c r="W775" s="56">
        <f>V775+E775</f>
        <v>69.666666666666671</v>
      </c>
      <c r="X775" s="18">
        <f>(W775/D$8)^E$8</f>
        <v>8.9674731846197935E-3</v>
      </c>
      <c r="Y775" s="18">
        <f>(V775/D$8)^E$8</f>
        <v>0</v>
      </c>
      <c r="Z775" s="38">
        <f>1-EXP(Y775-X775)</f>
        <v>8.9273853154187011E-3</v>
      </c>
      <c r="AA775" s="41">
        <f>K775*P775*U775*Z775</f>
        <v>1.3060317021926209E-5</v>
      </c>
      <c r="AB775" s="42">
        <f>1-AA775</f>
        <v>0.99998693968297803</v>
      </c>
      <c r="AC775" s="47">
        <f>(AD775*F$5+AE775*F$6+AF775*F$7+AG775*F$8)+E775</f>
        <v>69.666666666666671</v>
      </c>
      <c r="AD775" s="43">
        <v>0</v>
      </c>
      <c r="AE775" s="1">
        <v>0</v>
      </c>
      <c r="AF775" s="1">
        <v>0</v>
      </c>
      <c r="AG775" s="1">
        <v>0</v>
      </c>
      <c r="AH775" s="74">
        <v>85</v>
      </c>
    </row>
    <row r="776" spans="1:34" x14ac:dyDescent="0.25">
      <c r="A776" s="76">
        <v>2</v>
      </c>
      <c r="B776" s="58">
        <v>9</v>
      </c>
      <c r="C776" s="9">
        <v>500</v>
      </c>
      <c r="D776" s="58">
        <v>2</v>
      </c>
      <c r="E776" s="48">
        <f t="shared" ref="E776:E778" si="81">B776*C776/60+D776</f>
        <v>77</v>
      </c>
      <c r="F776" s="100">
        <v>76</v>
      </c>
      <c r="G776" s="49">
        <f>H775*(1-AD776*C$5)</f>
        <v>69.666666666666671</v>
      </c>
      <c r="H776" s="50">
        <f>G776+E776</f>
        <v>146.66666666666669</v>
      </c>
      <c r="I776" s="15">
        <f>(H776/D$5)^E$5</f>
        <v>0.41749810283193062</v>
      </c>
      <c r="J776" s="15">
        <f>(G776/D$5)^E$5</f>
        <v>0.11516869637804684</v>
      </c>
      <c r="K776" s="29">
        <f>1-EXP(J776-I776)</f>
        <v>0.26090543773277519</v>
      </c>
      <c r="L776" s="51">
        <f>M775*(1-AE776*C$6)</f>
        <v>69.666666666666671</v>
      </c>
      <c r="M776" s="52">
        <f>L776+E776</f>
        <v>146.66666666666669</v>
      </c>
      <c r="N776" s="17">
        <f>(M776/D$6)^E$6</f>
        <v>0.35613584348340649</v>
      </c>
      <c r="O776" s="17">
        <f>(L776/D$6)^E$6</f>
        <v>8.7861714115895329E-2</v>
      </c>
      <c r="P776" s="32">
        <f>1-EXP(O776-N776)</f>
        <v>0.23530187384577195</v>
      </c>
      <c r="Q776" s="53">
        <f>R775*(1-AF776*C$7)</f>
        <v>69.666666666666671</v>
      </c>
      <c r="R776" s="54">
        <f>Q776+E776</f>
        <v>146.66666666666669</v>
      </c>
      <c r="S776" s="16">
        <f>(R776/D$7)^E$7</f>
        <v>1.0634541830073496</v>
      </c>
      <c r="T776" s="16">
        <f>(Q776/D$7)^E$7</f>
        <v>0.17421448251746105</v>
      </c>
      <c r="U776" s="35">
        <f>1-EXP(T776-S776)</f>
        <v>0.58903190715905007</v>
      </c>
      <c r="V776" s="55">
        <f>W775*(1-AG776*C$8)</f>
        <v>69.666666666666671</v>
      </c>
      <c r="W776" s="56">
        <f>V776+E776</f>
        <v>146.66666666666669</v>
      </c>
      <c r="X776" s="18">
        <f>(W776/D$8)^E$8</f>
        <v>5.897056032024859E-2</v>
      </c>
      <c r="Y776" s="18">
        <f>(V776/D$8)^E$8</f>
        <v>8.9674731846197935E-3</v>
      </c>
      <c r="Z776" s="38">
        <f>1-EXP(Y776-X776)</f>
        <v>4.8773512069000713E-2</v>
      </c>
      <c r="AA776" s="41">
        <f>K776*P776*U776*Z776</f>
        <v>1.7637270119788228E-3</v>
      </c>
      <c r="AB776" s="42">
        <f>1-AA776</f>
        <v>0.9982362729880212</v>
      </c>
      <c r="AC776" s="47">
        <f>AF776*F$7+E776+AC775</f>
        <v>146.66666666666669</v>
      </c>
      <c r="AD776" s="43">
        <v>0</v>
      </c>
      <c r="AE776" s="1">
        <v>0</v>
      </c>
      <c r="AF776" s="1">
        <v>0</v>
      </c>
      <c r="AG776" s="1">
        <v>0</v>
      </c>
      <c r="AH776" s="74">
        <v>40</v>
      </c>
    </row>
    <row r="777" spans="1:34" x14ac:dyDescent="0.25">
      <c r="A777" s="24">
        <v>1</v>
      </c>
      <c r="B777" s="9">
        <v>6</v>
      </c>
      <c r="C777" s="58">
        <v>500</v>
      </c>
      <c r="D777" s="58">
        <v>5</v>
      </c>
      <c r="E777" s="48">
        <f t="shared" si="81"/>
        <v>55</v>
      </c>
      <c r="F777" s="100">
        <v>106</v>
      </c>
      <c r="G777" s="68">
        <f>H776*(1-AD777*C$5)</f>
        <v>102.66666666666667</v>
      </c>
      <c r="H777" s="69">
        <f>G777+E777</f>
        <v>157.66666666666669</v>
      </c>
      <c r="I777" s="70">
        <f>(H777/D$5)^E$5</f>
        <v>0.47314161668142424</v>
      </c>
      <c r="J777" s="70">
        <f>(G777/D$5)^E$5</f>
        <v>0.22525483181366224</v>
      </c>
      <c r="K777" s="29">
        <f>1-EXP(J777-I777)</f>
        <v>0.21955170316640893</v>
      </c>
      <c r="L777" s="51">
        <f>M776*(1-AE777*C$6)</f>
        <v>102.66666666666667</v>
      </c>
      <c r="M777" s="52">
        <f>L777+E777</f>
        <v>157.66666666666669</v>
      </c>
      <c r="N777" s="17">
        <f>(M777/D$6)^E$6</f>
        <v>0.40800322739554595</v>
      </c>
      <c r="O777" s="17">
        <f>(L777/D$6)^E$6</f>
        <v>0.18213776408892768</v>
      </c>
      <c r="P777" s="32">
        <f>1-EXP(O777-N777)</f>
        <v>0.20217456875895568</v>
      </c>
      <c r="Q777" s="53">
        <f>R776*(1-AF777*C$7)</f>
        <v>102.66666666666667</v>
      </c>
      <c r="R777" s="54">
        <f>Q777+E777</f>
        <v>157.66666666666669</v>
      </c>
      <c r="S777" s="16">
        <f>(R777/D$7)^E$7</f>
        <v>1.2677725729300298</v>
      </c>
      <c r="T777" s="16">
        <f>(Q777/D$7)^E$7</f>
        <v>0.44699948326797367</v>
      </c>
      <c r="U777" s="35">
        <f>1-EXP(T777-S777)</f>
        <v>0.55990870707098139</v>
      </c>
      <c r="V777" s="55">
        <f>W776*(1-AG777*C$8)</f>
        <v>102.66666666666667</v>
      </c>
      <c r="W777" s="56">
        <f>V777+E777</f>
        <v>157.66666666666669</v>
      </c>
      <c r="X777" s="18">
        <f>(W777/D$8)^E$8</f>
        <v>7.0810664334380782E-2</v>
      </c>
      <c r="Y777" s="18">
        <f>(V777/D$8)^E$8</f>
        <v>2.3918464493037566E-2</v>
      </c>
      <c r="Z777" s="38">
        <f>1-EXP(Y777-X777)</f>
        <v>4.5809746092932202E-2</v>
      </c>
      <c r="AA777" s="41">
        <f>K777*P777*U777*Z777</f>
        <v>1.1385141739994828E-3</v>
      </c>
      <c r="AB777" s="42">
        <f>1-AA777</f>
        <v>0.99886148582600054</v>
      </c>
      <c r="AC777" s="47">
        <f>(AF777*F$7)+E777+AC776</f>
        <v>209.66666666666669</v>
      </c>
      <c r="AD777" s="77">
        <v>1</v>
      </c>
      <c r="AE777" s="78">
        <v>1</v>
      </c>
      <c r="AF777" s="78">
        <v>1</v>
      </c>
      <c r="AG777" s="78">
        <v>1</v>
      </c>
      <c r="AH777" s="74">
        <v>110</v>
      </c>
    </row>
    <row r="778" spans="1:34" ht="15.75" thickBot="1" x14ac:dyDescent="0.3">
      <c r="A778" s="57">
        <v>3</v>
      </c>
      <c r="B778" s="58">
        <v>5</v>
      </c>
      <c r="C778" s="58">
        <v>500</v>
      </c>
      <c r="D778" s="9">
        <v>4</v>
      </c>
      <c r="E778" s="48">
        <f t="shared" si="81"/>
        <v>45.666666666666664</v>
      </c>
      <c r="F778" s="100">
        <v>95</v>
      </c>
      <c r="G778" s="68">
        <f>H777*(1-AD778*C$5)</f>
        <v>110.36666666666667</v>
      </c>
      <c r="H778" s="69">
        <f>G778+E778</f>
        <v>156.03333333333333</v>
      </c>
      <c r="I778" s="70">
        <f>(H778/D$5)^E$5</f>
        <v>0.46469417134425517</v>
      </c>
      <c r="J778" s="70">
        <f>(G778/D$5)^E$5</f>
        <v>0.25527645411246963</v>
      </c>
      <c r="K778" s="29">
        <f>1-EXP(J778-I778)</f>
        <v>0.18894362734892267</v>
      </c>
      <c r="L778" s="51">
        <f>M777*(1-AE778*C$6)</f>
        <v>110.36666666666667</v>
      </c>
      <c r="M778" s="52">
        <f>L778+E778</f>
        <v>156.03333333333333</v>
      </c>
      <c r="N778" s="17">
        <f>(M778/D$6)^E$6</f>
        <v>0.40009331888325944</v>
      </c>
      <c r="O778" s="17">
        <f>(L778/D$6)^E$6</f>
        <v>0.20866418513797683</v>
      </c>
      <c r="P778" s="32">
        <f>1-EXP(O778-N778)</f>
        <v>0.17422185716279748</v>
      </c>
      <c r="Q778" s="53">
        <f>R777*(1-AF778*C$7)</f>
        <v>110.36666666666667</v>
      </c>
      <c r="R778" s="54">
        <f>Q778+E778</f>
        <v>156.03333333333333</v>
      </c>
      <c r="S778" s="16">
        <f>(R778/D$7)^E$7</f>
        <v>1.236094511081606</v>
      </c>
      <c r="T778" s="16">
        <f>(Q778/D$7)^E$7</f>
        <v>0.53288020683549875</v>
      </c>
      <c r="U778" s="35">
        <f>1-EXP(T778-S778)</f>
        <v>0.50500830990741408</v>
      </c>
      <c r="V778" s="55">
        <f>W777*(1-AG778*C$8)</f>
        <v>110.36666666666667</v>
      </c>
      <c r="W778" s="56">
        <f>V778+E778</f>
        <v>156.03333333333333</v>
      </c>
      <c r="X778" s="18">
        <f>(W778/D$8)^E$8</f>
        <v>6.8969447168694797E-2</v>
      </c>
      <c r="Y778" s="18">
        <f>(V778/D$8)^E$8</f>
        <v>2.8720811730675255E-2</v>
      </c>
      <c r="Z778" s="38">
        <f>1-EXP(Y778-X778)</f>
        <v>3.9449417455385882E-2</v>
      </c>
      <c r="AA778" s="41">
        <f>K778*P778*U778*Z778</f>
        <v>6.5580391732311964E-4</v>
      </c>
      <c r="AB778" s="42">
        <f>1-AA778</f>
        <v>0.99934419608267688</v>
      </c>
      <c r="AC778" s="47">
        <f>(AF778*F$7)+E778+AC777</f>
        <v>263.33333333333337</v>
      </c>
      <c r="AD778" s="80">
        <v>1</v>
      </c>
      <c r="AE778" s="45">
        <v>1</v>
      </c>
      <c r="AF778" s="81">
        <v>1</v>
      </c>
      <c r="AG778" s="45">
        <v>1</v>
      </c>
      <c r="AH778" s="94">
        <v>67</v>
      </c>
    </row>
    <row r="779" spans="1:34" ht="18.75" x14ac:dyDescent="0.3">
      <c r="A779" s="132" t="s">
        <v>53</v>
      </c>
      <c r="B779" s="132"/>
      <c r="C779" s="132"/>
      <c r="D779" s="132"/>
      <c r="E779" s="132"/>
      <c r="F779" s="132"/>
      <c r="G779" s="132"/>
      <c r="H779" s="132"/>
      <c r="I779" s="132"/>
      <c r="J779" s="132"/>
      <c r="AG779" s="46"/>
    </row>
    <row r="780" spans="1:34" ht="15.75" x14ac:dyDescent="0.25">
      <c r="A780" s="19" t="s">
        <v>82</v>
      </c>
      <c r="B780" s="60" t="s">
        <v>49</v>
      </c>
      <c r="C780" s="61" t="s">
        <v>50</v>
      </c>
      <c r="D780" s="19" t="s">
        <v>48</v>
      </c>
      <c r="E780" s="60" t="s">
        <v>57</v>
      </c>
      <c r="F780" s="61" t="s">
        <v>50</v>
      </c>
      <c r="G780" s="19" t="s">
        <v>58</v>
      </c>
      <c r="H780" s="60" t="s">
        <v>61</v>
      </c>
      <c r="I780" s="61" t="s">
        <v>50</v>
      </c>
      <c r="J780" s="19" t="s">
        <v>54</v>
      </c>
      <c r="K780" s="83" t="s">
        <v>84</v>
      </c>
      <c r="L780" s="61" t="s">
        <v>50</v>
      </c>
      <c r="M780" s="61" t="s">
        <v>85</v>
      </c>
      <c r="O780" s="174" t="s">
        <v>64</v>
      </c>
      <c r="P780" s="174"/>
      <c r="Q780" s="175" t="s">
        <v>109</v>
      </c>
      <c r="R780" s="175"/>
    </row>
    <row r="781" spans="1:34" ht="24.75" x14ac:dyDescent="0.25">
      <c r="A781" s="61" t="s">
        <v>51</v>
      </c>
      <c r="B781" s="1">
        <f>AA775</f>
        <v>1.3060317021926209E-5</v>
      </c>
      <c r="C781" s="59">
        <f>MAX(AC775+1*L768-F775,0)</f>
        <v>0</v>
      </c>
      <c r="D781" s="62" t="s">
        <v>55</v>
      </c>
      <c r="E781" s="1">
        <f>AA775*AA776</f>
        <v>2.3034833916578068E-8</v>
      </c>
      <c r="F781" s="1">
        <f>MAX(AC776+2*L768-F776,0)</f>
        <v>94.666666666666686</v>
      </c>
      <c r="G781" s="62" t="s">
        <v>59</v>
      </c>
      <c r="H781" s="1">
        <f>AA775*AA776*AA777</f>
        <v>2.622548490974815E-11</v>
      </c>
      <c r="I781" s="1">
        <f>AC777+3*L768-F777</f>
        <v>139.66666666666669</v>
      </c>
      <c r="J781" s="62" t="s">
        <v>83</v>
      </c>
      <c r="K781" s="1">
        <f>AA775*AA776*AA777*AA778</f>
        <v>1.7198775737511199E-14</v>
      </c>
      <c r="L781" s="1">
        <f>AC778+4*L768-F778</f>
        <v>216.33333333333337</v>
      </c>
      <c r="M781" s="1">
        <f>B781*C781*AH775+E781*F781*AH776+H781*I781*AH777+K781*L781*AH778</f>
        <v>8.7628397915394193E-5</v>
      </c>
      <c r="O781" s="1" t="s">
        <v>27</v>
      </c>
      <c r="P781" s="1">
        <f>2*H766</f>
        <v>3640</v>
      </c>
      <c r="Q781" s="1">
        <f>(K775*(1-P775)*(1-U775)*(1-Z775))+(P775*(1-K775)*(1-U775)*(1-Z775))+(U775*(1-K775)*(1-P775)*(1-Z775))+(Z775*(1-K775)*(1-P775)*(1-U775))</f>
        <v>0.28083409477630866</v>
      </c>
      <c r="R781" s="1">
        <f>Q781*(L$7*(J$5*K$5+L$5)+I$5)</f>
        <v>9897.9976703909997</v>
      </c>
    </row>
    <row r="782" spans="1:34" ht="24.75" x14ac:dyDescent="0.25">
      <c r="A782" s="62" t="s">
        <v>52</v>
      </c>
      <c r="B782" s="1">
        <f>AB775</f>
        <v>0.99998693968297803</v>
      </c>
      <c r="C782" s="59">
        <f>MAX(AC775-F775,0)</f>
        <v>0</v>
      </c>
      <c r="D782" s="62" t="s">
        <v>56</v>
      </c>
      <c r="E782" s="1">
        <f>AA775*AB776+AA776*AB775</f>
        <v>1.7767412593329157E-3</v>
      </c>
      <c r="F782" s="1">
        <f>MAX(AC776+1*L768-F776,0)</f>
        <v>82.666666666666686</v>
      </c>
      <c r="G782" s="62" t="s">
        <v>60</v>
      </c>
      <c r="H782" s="1">
        <f>AA775*AA776*AB777+AA776*AA777*AB775+AA775*AA777*AB776</f>
        <v>2.0458537157118834E-6</v>
      </c>
      <c r="I782" s="1">
        <f>AC777+2*L768-F777</f>
        <v>127.66666666666669</v>
      </c>
      <c r="J782" s="62" t="s">
        <v>59</v>
      </c>
      <c r="K782">
        <f>AB775*AA776*AA777*AA778+AB776*AA775*AA777*AA778*+AB777*AA775*AA776*AA778+AB778*AA775*AA776*AA777</f>
        <v>1.3430638484588718E-9</v>
      </c>
      <c r="L782" s="1">
        <f>AC778+3*L768-F778</f>
        <v>204.33333333333337</v>
      </c>
      <c r="M782" s="1">
        <f>B782*C782*AH775+E782*F782*AH776+H782*I782*AH777+K782*L782*AH778</f>
        <v>5.903840090200263</v>
      </c>
      <c r="O782" s="1" t="s">
        <v>28</v>
      </c>
      <c r="P782" s="1">
        <f>2*H767</f>
        <v>5440</v>
      </c>
      <c r="Q782" s="1">
        <f t="shared" ref="Q782:Q784" si="82">(K776*(1-P776)*(1-U776)*(1-Z776))+(P776*(1-K776)*(1-U776)*(1-Z776))+(U776*(1-K776)*(1-P776)*(1-Z776))+(Z776*(1-K776)*(1-P776)*(1-U776))</f>
        <v>0.47398342923204934</v>
      </c>
      <c r="R782" s="1">
        <f t="shared" ref="R782:R784" si="83">Q782*(L$7*(J$5*K$5+L$5)+I$5)</f>
        <v>16705.545963283577</v>
      </c>
    </row>
    <row r="783" spans="1:34" ht="24.75" x14ac:dyDescent="0.25">
      <c r="A783" s="1"/>
      <c r="B783" s="1"/>
      <c r="C783" s="1"/>
      <c r="D783" s="62" t="s">
        <v>52</v>
      </c>
      <c r="E783" s="1">
        <f>AB775*AB776</f>
        <v>0.99822323570583316</v>
      </c>
      <c r="F783" s="59">
        <f>MAX(AC776-F776,0)</f>
        <v>70.666666666666686</v>
      </c>
      <c r="G783" s="62" t="s">
        <v>56</v>
      </c>
      <c r="H783" s="1">
        <f>AA775*AB776*AB777+AA776*AB775*AB777*+AA777*AB775*AB776</f>
        <v>1.5024591211169759E-5</v>
      </c>
      <c r="I783" s="1">
        <f>AC777+1*L768-F777</f>
        <v>115.66666666666669</v>
      </c>
      <c r="J783" s="62" t="s">
        <v>60</v>
      </c>
      <c r="K783" s="1">
        <f>AA775*AA776*AB777*AB778 + AA775*AA777*AB776*AB778 + AA775*AA778*AB776*AB777 + AA776*AA777*AB775*AB778 + AA776*AA778*AB775*AB777 + AA777*AA778*AB775*AB776</f>
        <v>3.953694773317985E-6</v>
      </c>
      <c r="L783" s="1">
        <f>AC778+2*L768-F778</f>
        <v>192.33333333333337</v>
      </c>
      <c r="M783" s="1">
        <f>B783*C783*AH775+E783*F783*AH776+H783*I783*AH777+K783*L783*AH778</f>
        <v>2821.8864577727468</v>
      </c>
      <c r="O783" s="1" t="s">
        <v>29</v>
      </c>
      <c r="P783" s="1">
        <f>2*(F768*(J766*K766+L766)+H768)</f>
        <v>28200</v>
      </c>
      <c r="Q783" s="1">
        <f t="shared" si="82"/>
        <v>0.4850322010513452</v>
      </c>
      <c r="R783" s="1">
        <f t="shared" si="83"/>
        <v>17094.95992605466</v>
      </c>
    </row>
    <row r="784" spans="1:34" ht="24.75" x14ac:dyDescent="0.25">
      <c r="A784" s="1"/>
      <c r="B784" s="1"/>
      <c r="C784" s="1"/>
      <c r="D784" s="1"/>
      <c r="E784" s="1"/>
      <c r="F784" s="1"/>
      <c r="G784" s="62" t="s">
        <v>52</v>
      </c>
      <c r="H784" s="1">
        <f>AB775*AB776*AB777</f>
        <v>0.99708674440316647</v>
      </c>
      <c r="I784" s="63">
        <f>AC777-F777</f>
        <v>103.66666666666669</v>
      </c>
      <c r="J784" s="62" t="s">
        <v>56</v>
      </c>
      <c r="K784" s="1">
        <f>AA775*AB776*AB777*AB778+AA776*AB775*AB777*AB778+AA777*AB775*AB776*AB778+AA778*AB775*AB776*AB777</f>
        <v>3.5631939270464189E-3</v>
      </c>
      <c r="L784" s="1">
        <f>AC778+1*L768-F778</f>
        <v>180.33333333333337</v>
      </c>
      <c r="M784" s="1">
        <f>B784*C784*AH775+E784*F784*AH776+H784*I784*AH777+K784*L784*AH778</f>
        <v>11413.164205435329</v>
      </c>
      <c r="O784" s="1" t="s">
        <v>30</v>
      </c>
      <c r="P784" s="1">
        <f>2*H769</f>
        <v>8640</v>
      </c>
      <c r="Q784" s="1">
        <f t="shared" si="82"/>
        <v>0.4793355157984972</v>
      </c>
      <c r="R784" s="1">
        <f t="shared" si="83"/>
        <v>16894.180254318035</v>
      </c>
    </row>
    <row r="785" spans="1:20" ht="30" x14ac:dyDescent="0.25">
      <c r="I785" s="84"/>
      <c r="J785" s="62" t="s">
        <v>52</v>
      </c>
      <c r="K785" s="85">
        <f>AB775*AB776*AB777*AB778</f>
        <v>0.9964328510102759</v>
      </c>
      <c r="L785" s="1">
        <f>AC778+0*L768-F778</f>
        <v>168.33333333333337</v>
      </c>
      <c r="M785" s="1">
        <f>B785*C785*AH775+E785*F785*AH776+H785*I785*AH777+K785*L785*AH778</f>
        <v>11238.101837977565</v>
      </c>
      <c r="O785" s="64" t="s">
        <v>65</v>
      </c>
      <c r="P785" s="65">
        <f>SUM(P781:P784)</f>
        <v>45920</v>
      </c>
      <c r="Q785" s="96" t="s">
        <v>108</v>
      </c>
      <c r="R785" s="97">
        <f>SUM(R781:R784)</f>
        <v>60592.683814047268</v>
      </c>
    </row>
    <row r="786" spans="1:20" x14ac:dyDescent="0.25">
      <c r="L786" s="176" t="s">
        <v>63</v>
      </c>
      <c r="M786" s="177">
        <f>SUM(M781:M785)</f>
        <v>25479.056428904238</v>
      </c>
    </row>
    <row r="787" spans="1:20" x14ac:dyDescent="0.25">
      <c r="L787" s="176"/>
      <c r="M787" s="177"/>
    </row>
    <row r="788" spans="1:20" x14ac:dyDescent="0.25">
      <c r="A788" s="178" t="s">
        <v>90</v>
      </c>
      <c r="B788" s="178"/>
      <c r="C788" s="178"/>
      <c r="D788" s="178"/>
      <c r="E788" s="178"/>
      <c r="F788" s="178"/>
      <c r="G788" s="178"/>
      <c r="H788" s="178"/>
      <c r="I788" s="178"/>
      <c r="J788" s="178"/>
      <c r="K788" s="178"/>
      <c r="L788" s="178"/>
      <c r="M788" s="178"/>
      <c r="N788" s="178"/>
    </row>
    <row r="789" spans="1:20" ht="15.75" x14ac:dyDescent="0.25">
      <c r="A789" s="87" t="s">
        <v>86</v>
      </c>
      <c r="B789" s="62" t="s">
        <v>49</v>
      </c>
      <c r="C789" s="90" t="s">
        <v>103</v>
      </c>
      <c r="D789" s="62" t="s">
        <v>88</v>
      </c>
      <c r="E789" s="87" t="s">
        <v>75</v>
      </c>
      <c r="F789" s="62" t="s">
        <v>57</v>
      </c>
      <c r="G789" s="90" t="s">
        <v>87</v>
      </c>
      <c r="H789" s="62" t="s">
        <v>88</v>
      </c>
      <c r="I789" s="87" t="s">
        <v>77</v>
      </c>
      <c r="J789" s="62" t="s">
        <v>61</v>
      </c>
      <c r="K789" s="90" t="s">
        <v>78</v>
      </c>
      <c r="L789" s="62" t="s">
        <v>88</v>
      </c>
      <c r="M789" s="87" t="s">
        <v>76</v>
      </c>
      <c r="N789" s="62" t="s">
        <v>84</v>
      </c>
      <c r="O789" s="90" t="s">
        <v>102</v>
      </c>
      <c r="P789" s="62" t="s">
        <v>88</v>
      </c>
    </row>
    <row r="790" spans="1:20" ht="24.75" x14ac:dyDescent="0.25">
      <c r="A790" s="62" t="s">
        <v>51</v>
      </c>
      <c r="B790" s="86">
        <v>1.3060317021926209E-5</v>
      </c>
      <c r="C790" s="86">
        <f>AC775+1*L768</f>
        <v>81.666666666666671</v>
      </c>
      <c r="D790" s="86">
        <f>MAX(B790*1.5*((C790-F775)*500/2),0)</f>
        <v>0</v>
      </c>
      <c r="E790" s="62" t="s">
        <v>55</v>
      </c>
      <c r="F790" s="86">
        <v>1.8868178733782354E-8</v>
      </c>
      <c r="G790" s="86">
        <f>AC776+2*L768</f>
        <v>170.66666666666669</v>
      </c>
      <c r="H790" s="86">
        <f>F790*1.5*((G790-F776)*500/2+(G790-F777)*500+(G790-F778)*500)</f>
        <v>2.6556961567798668E-3</v>
      </c>
      <c r="I790" s="62" t="s">
        <v>59</v>
      </c>
      <c r="J790" s="86">
        <v>2.9482483257855206E-11</v>
      </c>
      <c r="K790" s="86">
        <f>AC777+3*L768</f>
        <v>245.66666666666669</v>
      </c>
      <c r="L790" s="86">
        <f>J790*1.5*((K790-G790)*500/2+(K790-G790)*500)</f>
        <v>2.4875845248815329E-6</v>
      </c>
      <c r="M790" s="62" t="s">
        <v>83</v>
      </c>
      <c r="N790" s="86">
        <v>2.4316898442286009E-14</v>
      </c>
      <c r="O790" s="86">
        <f>AC778+4*L768</f>
        <v>311.33333333333337</v>
      </c>
      <c r="P790" s="86">
        <f>N790*1.5*((O790-K790)*500/2)</f>
        <v>5.9880362414129322E-10</v>
      </c>
    </row>
    <row r="791" spans="1:20" ht="24.75" x14ac:dyDescent="0.25">
      <c r="A791" s="62" t="s">
        <v>52</v>
      </c>
      <c r="B791" s="86">
        <v>0.99998693968297803</v>
      </c>
      <c r="C791" s="88">
        <f>AC775</f>
        <v>69.666666666666671</v>
      </c>
      <c r="D791" s="86">
        <f>MAX(B791*1.5*((C791-F775)*500/2),0)</f>
        <v>0</v>
      </c>
      <c r="E791" s="62" t="s">
        <v>56</v>
      </c>
      <c r="F791" s="86">
        <v>1.4577178895230157E-3</v>
      </c>
      <c r="G791" s="86">
        <f>AC776+1*L768</f>
        <v>158.66666666666669</v>
      </c>
      <c r="H791" s="86">
        <f>F791*1.5*((G791-F776)*500/2+(G791-F777)*500+(G791-F778)*500)</f>
        <v>172.37514043609664</v>
      </c>
      <c r="I791" s="62" t="s">
        <v>60</v>
      </c>
      <c r="J791" s="86">
        <v>2.2965966017122899E-6</v>
      </c>
      <c r="K791" s="86">
        <f>AC777+2*L768</f>
        <v>233.66666666666669</v>
      </c>
      <c r="L791" s="86">
        <f>J791*1.5*((K791-G791)*500/2+(K791-G791)*500)</f>
        <v>0.19377533826947446</v>
      </c>
      <c r="M791" s="62" t="s">
        <v>59</v>
      </c>
      <c r="N791" s="86">
        <v>1.8913257469903482E-9</v>
      </c>
      <c r="O791" s="86">
        <f>AC778+3*L768</f>
        <v>299.33333333333337</v>
      </c>
      <c r="P791" s="86">
        <f>N791*1.5*((O791-K791)*500/2)</f>
        <v>4.6573896519637333E-5</v>
      </c>
    </row>
    <row r="792" spans="1:20" x14ac:dyDescent="0.25">
      <c r="A792" s="86"/>
      <c r="B792" s="86"/>
      <c r="C792" s="89" t="s">
        <v>89</v>
      </c>
      <c r="D792" s="89">
        <f>SUM(D790:D791)</f>
        <v>0</v>
      </c>
      <c r="E792" s="62" t="s">
        <v>52</v>
      </c>
      <c r="F792" s="86">
        <v>0.99854226324229811</v>
      </c>
      <c r="G792" s="86">
        <f>AC776+0*L768</f>
        <v>146.66666666666669</v>
      </c>
      <c r="H792" s="86">
        <f>F792*1.5*((G792-F776)*500/2+(G792-F777)*500+(G792-F778)*500)</f>
        <v>95610.421705450077</v>
      </c>
      <c r="I792" s="62" t="s">
        <v>56</v>
      </c>
      <c r="J792" s="86">
        <v>1.5271638107951078E-5</v>
      </c>
      <c r="K792" s="86">
        <f>AC777+1*L768</f>
        <v>221.66666666666669</v>
      </c>
      <c r="L792" s="86">
        <f>J792*1.5*((K792-G792)*500/2+(K792-G792)*500)</f>
        <v>1.2885444653583722</v>
      </c>
      <c r="M792" s="62" t="s">
        <v>60</v>
      </c>
      <c r="N792" s="86">
        <v>4.7820364369687471E-6</v>
      </c>
      <c r="O792" s="86">
        <f>AC778+2*L768</f>
        <v>287.33333333333337</v>
      </c>
      <c r="P792" s="86">
        <f>N792*1.5*((O792-K792)*500/2)</f>
        <v>0.11775764726035544</v>
      </c>
    </row>
    <row r="793" spans="1:20" x14ac:dyDescent="0.25">
      <c r="A793" s="86"/>
      <c r="B793" s="86"/>
      <c r="C793" s="86"/>
      <c r="D793" s="86"/>
      <c r="E793" s="86"/>
      <c r="F793" s="86"/>
      <c r="G793" s="89" t="s">
        <v>79</v>
      </c>
      <c r="H793" s="89">
        <f>SUM(H790:H792)</f>
        <v>95782.799501582325</v>
      </c>
      <c r="I793" s="62" t="s">
        <v>52</v>
      </c>
      <c r="J793" s="86">
        <v>0.99698199046909231</v>
      </c>
      <c r="K793" s="86">
        <f>AC777+0*L768</f>
        <v>209.66666666666669</v>
      </c>
      <c r="L793" s="86">
        <f>J793*1.5*((K793-G792)*500/2+(K793-G792)*500)</f>
        <v>70661.098574496908</v>
      </c>
      <c r="M793" s="62" t="s">
        <v>56</v>
      </c>
      <c r="N793" s="86">
        <v>3.8355277357246327E-3</v>
      </c>
      <c r="O793" s="86">
        <f>AC778+1*L768</f>
        <v>275.33333333333337</v>
      </c>
      <c r="P793" s="86">
        <f>N793*1.5*((O793-K793)*500/2)</f>
        <v>94.449870492219105</v>
      </c>
    </row>
    <row r="794" spans="1:20" x14ac:dyDescent="0.25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9" t="s">
        <v>79</v>
      </c>
      <c r="L794" s="89">
        <f>SUM(L790:L793)</f>
        <v>70662.580896788117</v>
      </c>
      <c r="M794" s="62" t="s">
        <v>52</v>
      </c>
      <c r="N794" s="86">
        <v>0.9961596883041427</v>
      </c>
      <c r="O794" s="86">
        <f>AC778+0*L768</f>
        <v>263.33333333333337</v>
      </c>
      <c r="P794" s="86">
        <f>N794*1.5*((O794-K793)*500/2)</f>
        <v>20047.713727120881</v>
      </c>
      <c r="Q794" s="179" t="s">
        <v>80</v>
      </c>
      <c r="R794" s="179"/>
      <c r="S794" s="180">
        <f>D792+H793+L794+P795</f>
        <v>186587.6618002053</v>
      </c>
      <c r="T794" s="180"/>
    </row>
    <row r="795" spans="1:20" x14ac:dyDescent="0.25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9" t="s">
        <v>79</v>
      </c>
      <c r="P795" s="89">
        <f>SUM(P790:P794)</f>
        <v>20142.281401834854</v>
      </c>
      <c r="Q795" s="179"/>
      <c r="R795" s="179"/>
      <c r="S795" s="180"/>
      <c r="T795" s="180"/>
    </row>
    <row r="796" spans="1:20" x14ac:dyDescent="0.25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</row>
    <row r="797" spans="1:20" x14ac:dyDescent="0.25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</row>
    <row r="798" spans="1:20" x14ac:dyDescent="0.25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</row>
    <row r="799" spans="1:20" ht="24.75" thickBot="1" x14ac:dyDescent="0.3">
      <c r="O799" s="131" t="s">
        <v>81</v>
      </c>
      <c r="P799" s="131"/>
      <c r="Q799" s="131">
        <f>(R785+P785+M786+S794)/AC778</f>
        <v>1209.7951976322408</v>
      </c>
      <c r="R799" s="131"/>
    </row>
    <row r="800" spans="1:20" x14ac:dyDescent="0.25">
      <c r="A800" s="181" t="s">
        <v>126</v>
      </c>
      <c r="B800" s="182"/>
    </row>
    <row r="801" spans="1:34" ht="15.75" thickBot="1" x14ac:dyDescent="0.3">
      <c r="A801" s="183"/>
      <c r="B801" s="184"/>
    </row>
    <row r="802" spans="1:34" ht="21" x14ac:dyDescent="0.35">
      <c r="A802" s="185" t="s">
        <v>14</v>
      </c>
      <c r="B802" s="185"/>
      <c r="C802" s="165"/>
      <c r="D802" s="165"/>
      <c r="E802" s="165"/>
      <c r="F802" s="165"/>
      <c r="G802" s="165"/>
      <c r="H802" s="165"/>
      <c r="I802" s="165"/>
      <c r="J802" s="165"/>
      <c r="K802" s="165"/>
      <c r="L802" s="165"/>
      <c r="M802" s="165"/>
      <c r="O802" s="166" t="s">
        <v>72</v>
      </c>
      <c r="P802" s="166"/>
      <c r="Q802" s="166"/>
      <c r="R802" s="166"/>
      <c r="S802" s="166"/>
      <c r="T802" s="166"/>
      <c r="U802" s="166"/>
      <c r="V802" s="166"/>
    </row>
    <row r="803" spans="1:34" ht="36" x14ac:dyDescent="0.25">
      <c r="A803" s="4" t="s">
        <v>15</v>
      </c>
      <c r="B803" s="4" t="s">
        <v>16</v>
      </c>
      <c r="C803" s="4" t="s">
        <v>31</v>
      </c>
      <c r="D803" s="6" t="s">
        <v>17</v>
      </c>
      <c r="E803" s="6" t="s">
        <v>18</v>
      </c>
      <c r="F803" s="6" t="s">
        <v>19</v>
      </c>
      <c r="G803" s="6" t="s">
        <v>20</v>
      </c>
      <c r="H803" s="6" t="s">
        <v>21</v>
      </c>
      <c r="I803" s="6" t="s">
        <v>22</v>
      </c>
      <c r="J803" s="6" t="s">
        <v>23</v>
      </c>
      <c r="K803" s="6" t="s">
        <v>24</v>
      </c>
      <c r="L803" s="6" t="s">
        <v>25</v>
      </c>
      <c r="M803" s="6" t="s">
        <v>26</v>
      </c>
      <c r="N803" s="8"/>
      <c r="O803" s="167" t="s">
        <v>32</v>
      </c>
      <c r="P803" s="167" t="s">
        <v>35</v>
      </c>
      <c r="Q803" s="167" t="s">
        <v>66</v>
      </c>
      <c r="R803" s="99" t="s">
        <v>67</v>
      </c>
      <c r="S803" s="99" t="s">
        <v>68</v>
      </c>
      <c r="T803" s="167" t="s">
        <v>69</v>
      </c>
      <c r="U803" s="71" t="s">
        <v>33</v>
      </c>
      <c r="V803" s="99" t="s">
        <v>70</v>
      </c>
    </row>
    <row r="804" spans="1:34" x14ac:dyDescent="0.25">
      <c r="A804" s="3" t="s">
        <v>27</v>
      </c>
      <c r="B804" s="3">
        <v>0</v>
      </c>
      <c r="C804" s="3">
        <v>0.3</v>
      </c>
      <c r="D804" s="3">
        <v>243</v>
      </c>
      <c r="E804" s="3">
        <v>1.73</v>
      </c>
      <c r="F804" s="3">
        <v>5</v>
      </c>
      <c r="G804" s="169">
        <v>12</v>
      </c>
      <c r="H804" s="3">
        <v>1820</v>
      </c>
      <c r="I804" s="169">
        <v>19645</v>
      </c>
      <c r="J804" s="3">
        <v>20</v>
      </c>
      <c r="K804" s="3">
        <v>40</v>
      </c>
      <c r="L804" s="3">
        <v>500</v>
      </c>
      <c r="M804" s="3">
        <v>1000</v>
      </c>
      <c r="O804" s="168"/>
      <c r="P804" s="168"/>
      <c r="Q804" s="168"/>
      <c r="R804" s="72" t="s">
        <v>71</v>
      </c>
      <c r="S804" s="72" t="s">
        <v>71</v>
      </c>
      <c r="T804" s="168"/>
      <c r="U804" s="73">
        <v>500</v>
      </c>
      <c r="V804" s="3">
        <v>1.5</v>
      </c>
    </row>
    <row r="805" spans="1:34" x14ac:dyDescent="0.25">
      <c r="A805" s="3" t="s">
        <v>28</v>
      </c>
      <c r="B805" s="3">
        <v>0</v>
      </c>
      <c r="C805" s="3">
        <v>0.3</v>
      </c>
      <c r="D805" s="3">
        <v>254</v>
      </c>
      <c r="E805" s="3">
        <v>1.88</v>
      </c>
      <c r="F805" s="3">
        <v>3</v>
      </c>
      <c r="G805" s="170"/>
      <c r="H805" s="3">
        <v>2720</v>
      </c>
      <c r="I805" s="170"/>
      <c r="J805" s="5"/>
      <c r="K805" s="5"/>
      <c r="L805" s="5"/>
      <c r="M805" s="5"/>
      <c r="O805" s="74">
        <v>1</v>
      </c>
      <c r="P805" s="74">
        <v>106</v>
      </c>
      <c r="Q805" s="74">
        <v>110</v>
      </c>
      <c r="R805" s="74">
        <v>6</v>
      </c>
      <c r="S805" s="74">
        <v>5</v>
      </c>
      <c r="T805" s="74">
        <f>R805*$U$5/60+S805</f>
        <v>55</v>
      </c>
      <c r="U805" s="75"/>
    </row>
    <row r="806" spans="1:34" x14ac:dyDescent="0.25">
      <c r="A806" s="3" t="s">
        <v>29</v>
      </c>
      <c r="B806" s="3">
        <v>0</v>
      </c>
      <c r="C806" s="3">
        <v>0.3</v>
      </c>
      <c r="D806" s="3">
        <v>143</v>
      </c>
      <c r="E806" s="3">
        <v>2.4300000000000002</v>
      </c>
      <c r="F806" s="3">
        <v>8</v>
      </c>
      <c r="G806" s="170"/>
      <c r="H806" s="3">
        <v>3700</v>
      </c>
      <c r="I806" s="170"/>
      <c r="J806" s="5"/>
      <c r="K806" s="140" t="s">
        <v>73</v>
      </c>
      <c r="L806" s="141">
        <v>12</v>
      </c>
      <c r="M806" s="140" t="s">
        <v>74</v>
      </c>
      <c r="N806" s="141">
        <v>19645</v>
      </c>
      <c r="O806" s="74">
        <v>2</v>
      </c>
      <c r="P806" s="74">
        <v>76</v>
      </c>
      <c r="Q806" s="74">
        <v>40</v>
      </c>
      <c r="R806" s="74">
        <v>9</v>
      </c>
      <c r="S806" s="74">
        <v>2</v>
      </c>
      <c r="T806" s="74">
        <f t="shared" ref="T806:T808" si="84">R806*$U$5/60+S806</f>
        <v>77</v>
      </c>
      <c r="U806" s="75"/>
    </row>
    <row r="807" spans="1:34" x14ac:dyDescent="0.25">
      <c r="A807" s="3" t="s">
        <v>30</v>
      </c>
      <c r="B807" s="3">
        <v>0</v>
      </c>
      <c r="C807" s="3">
        <v>0.3</v>
      </c>
      <c r="D807" s="3">
        <v>449</v>
      </c>
      <c r="E807" s="3">
        <v>2.5299999999999998</v>
      </c>
      <c r="F807" s="3">
        <v>4</v>
      </c>
      <c r="G807" s="171"/>
      <c r="H807" s="3">
        <v>4320</v>
      </c>
      <c r="I807" s="171"/>
      <c r="J807" s="5"/>
      <c r="K807" s="140"/>
      <c r="L807" s="141"/>
      <c r="M807" s="140"/>
      <c r="N807" s="141"/>
      <c r="O807" s="74">
        <v>3</v>
      </c>
      <c r="P807" s="74">
        <v>95</v>
      </c>
      <c r="Q807" s="74">
        <v>67</v>
      </c>
      <c r="R807" s="74">
        <v>5</v>
      </c>
      <c r="S807" s="74">
        <v>4</v>
      </c>
      <c r="T807" s="74">
        <f t="shared" si="84"/>
        <v>45.666666666666664</v>
      </c>
      <c r="U807" s="75"/>
    </row>
    <row r="808" spans="1:34" ht="15.75" thickBo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O808" s="74">
        <v>4</v>
      </c>
      <c r="P808" s="74">
        <v>140</v>
      </c>
      <c r="Q808" s="94">
        <v>85</v>
      </c>
      <c r="R808" s="94">
        <v>8</v>
      </c>
      <c r="S808" s="94">
        <v>3</v>
      </c>
      <c r="T808" s="74">
        <f t="shared" si="84"/>
        <v>69.666666666666671</v>
      </c>
    </row>
    <row r="809" spans="1:34" ht="15" customHeight="1" x14ac:dyDescent="0.25">
      <c r="A809" s="142" t="s">
        <v>100</v>
      </c>
      <c r="B809" s="144" t="s">
        <v>129</v>
      </c>
      <c r="C809" s="144"/>
      <c r="D809" s="144"/>
      <c r="E809" s="144"/>
      <c r="F809" s="20" t="s">
        <v>27</v>
      </c>
      <c r="G809" s="20" t="s">
        <v>28</v>
      </c>
      <c r="H809" s="20" t="s">
        <v>29</v>
      </c>
      <c r="I809" s="20" t="s">
        <v>30</v>
      </c>
    </row>
    <row r="810" spans="1:34" ht="15.75" customHeight="1" thickBot="1" x14ac:dyDescent="0.3">
      <c r="A810" s="143"/>
      <c r="B810" s="145"/>
      <c r="C810" s="145"/>
      <c r="D810" s="145"/>
      <c r="E810" s="145"/>
      <c r="F810" s="20">
        <v>91</v>
      </c>
      <c r="G810" s="26">
        <v>91</v>
      </c>
      <c r="H810" s="26">
        <v>91</v>
      </c>
      <c r="I810" s="26">
        <v>91</v>
      </c>
    </row>
    <row r="811" spans="1:34" ht="15.75" customHeight="1" thickBot="1" x14ac:dyDescent="0.3">
      <c r="A811" s="143"/>
      <c r="B811" s="145"/>
      <c r="C811" s="145"/>
      <c r="D811" s="145"/>
      <c r="E811" s="145"/>
      <c r="F811" s="7"/>
      <c r="G811" s="146" t="s">
        <v>27</v>
      </c>
      <c r="H811" s="147"/>
      <c r="I811" s="147"/>
      <c r="J811" s="147"/>
      <c r="K811" s="148"/>
      <c r="L811" s="149" t="s">
        <v>28</v>
      </c>
      <c r="M811" s="150"/>
      <c r="N811" s="150"/>
      <c r="O811" s="150"/>
      <c r="P811" s="151"/>
      <c r="Q811" s="152" t="s">
        <v>29</v>
      </c>
      <c r="R811" s="153"/>
      <c r="S811" s="153"/>
      <c r="T811" s="153"/>
      <c r="U811" s="154"/>
      <c r="V811" s="155" t="s">
        <v>30</v>
      </c>
      <c r="W811" s="156"/>
      <c r="X811" s="156"/>
      <c r="Y811" s="156"/>
      <c r="Z811" s="157"/>
      <c r="AA811" s="158" t="s">
        <v>42</v>
      </c>
      <c r="AB811" s="159"/>
      <c r="AC811" s="160" t="s">
        <v>44</v>
      </c>
      <c r="AD811" s="162" t="s">
        <v>47</v>
      </c>
      <c r="AE811" s="163"/>
      <c r="AF811" s="163"/>
      <c r="AG811" s="164"/>
      <c r="AH811" s="138" t="s">
        <v>62</v>
      </c>
    </row>
    <row r="812" spans="1:34" ht="36.75" x14ac:dyDescent="0.25">
      <c r="A812" s="21" t="s">
        <v>32</v>
      </c>
      <c r="B812" s="22" t="s">
        <v>37</v>
      </c>
      <c r="C812" s="23" t="s">
        <v>33</v>
      </c>
      <c r="D812" s="22" t="s">
        <v>38</v>
      </c>
      <c r="E812" s="22" t="s">
        <v>34</v>
      </c>
      <c r="F812" s="25" t="s">
        <v>35</v>
      </c>
      <c r="G812" s="27" t="s">
        <v>39</v>
      </c>
      <c r="H812" s="10" t="s">
        <v>40</v>
      </c>
      <c r="I812" s="10" t="s">
        <v>45</v>
      </c>
      <c r="J812" s="10" t="s">
        <v>46</v>
      </c>
      <c r="K812" s="28" t="s">
        <v>41</v>
      </c>
      <c r="L812" s="30" t="s">
        <v>39</v>
      </c>
      <c r="M812" s="13" t="s">
        <v>40</v>
      </c>
      <c r="N812" s="13" t="s">
        <v>45</v>
      </c>
      <c r="O812" s="13" t="s">
        <v>46</v>
      </c>
      <c r="P812" s="31" t="s">
        <v>41</v>
      </c>
      <c r="Q812" s="33" t="s">
        <v>39</v>
      </c>
      <c r="R812" s="12" t="s">
        <v>40</v>
      </c>
      <c r="S812" s="12" t="s">
        <v>45</v>
      </c>
      <c r="T812" s="12" t="s">
        <v>46</v>
      </c>
      <c r="U812" s="34" t="s">
        <v>41</v>
      </c>
      <c r="V812" s="36" t="s">
        <v>39</v>
      </c>
      <c r="W812" s="11" t="s">
        <v>40</v>
      </c>
      <c r="X812" s="11" t="s">
        <v>45</v>
      </c>
      <c r="Y812" s="11" t="s">
        <v>46</v>
      </c>
      <c r="Z812" s="37" t="s">
        <v>41</v>
      </c>
      <c r="AA812" s="39" t="s">
        <v>41</v>
      </c>
      <c r="AB812" s="40" t="s">
        <v>43</v>
      </c>
      <c r="AC812" s="161"/>
      <c r="AD812" s="43" t="s">
        <v>27</v>
      </c>
      <c r="AE812" s="1" t="s">
        <v>28</v>
      </c>
      <c r="AF812" s="1" t="s">
        <v>29</v>
      </c>
      <c r="AG812" s="1" t="s">
        <v>30</v>
      </c>
      <c r="AH812" s="139"/>
    </row>
    <row r="813" spans="1:34" x14ac:dyDescent="0.25">
      <c r="A813" s="24">
        <v>4</v>
      </c>
      <c r="B813" s="9">
        <v>8</v>
      </c>
      <c r="C813" s="9">
        <v>500</v>
      </c>
      <c r="D813" s="9">
        <v>3</v>
      </c>
      <c r="E813" s="48">
        <f>B813*C813/60+D813</f>
        <v>69.666666666666671</v>
      </c>
      <c r="F813" s="100">
        <v>140</v>
      </c>
      <c r="G813" s="49">
        <f>B$5*(1-AD813*C$5)</f>
        <v>0</v>
      </c>
      <c r="H813" s="50">
        <f>G813+E813</f>
        <v>69.666666666666671</v>
      </c>
      <c r="I813" s="15">
        <f>(H813/D$5)^E$5</f>
        <v>0.11516869637804684</v>
      </c>
      <c r="J813" s="15">
        <f>(G813/D$5)^E$5</f>
        <v>0</v>
      </c>
      <c r="K813" s="29">
        <f>1-EXP(J813-I813)</f>
        <v>0.10878421365041502</v>
      </c>
      <c r="L813" s="51">
        <f>B$6*(1-AE813*C$6)</f>
        <v>0</v>
      </c>
      <c r="M813" s="52">
        <f>L813+E813</f>
        <v>69.666666666666671</v>
      </c>
      <c r="N813" s="17">
        <f>(M813/D$6)^E$6</f>
        <v>8.7861714115895329E-2</v>
      </c>
      <c r="O813" s="17">
        <f>(L813/D$6)^E$6</f>
        <v>0</v>
      </c>
      <c r="P813" s="32">
        <f>1-EXP(O813-N813)</f>
        <v>8.4112477717763534E-2</v>
      </c>
      <c r="Q813" s="53">
        <f>B$7*(1-AF813*C$7)</f>
        <v>0</v>
      </c>
      <c r="R813" s="54">
        <f>Q813+E813</f>
        <v>69.666666666666671</v>
      </c>
      <c r="S813" s="16">
        <f>(R813/D$7)^E$7</f>
        <v>0.17421448251746105</v>
      </c>
      <c r="T813" s="16">
        <f>(Q813/D$7)^E$7</f>
        <v>0</v>
      </c>
      <c r="U813" s="35">
        <f>1-EXP(T813-S813)</f>
        <v>0.15988331200899064</v>
      </c>
      <c r="V813" s="55">
        <f>B$8*(1-AG813*C$8)</f>
        <v>0</v>
      </c>
      <c r="W813" s="56">
        <f>V813+E813</f>
        <v>69.666666666666671</v>
      </c>
      <c r="X813" s="18">
        <f>(W813/D$8)^E$8</f>
        <v>8.9674731846197935E-3</v>
      </c>
      <c r="Y813" s="18">
        <f>(V813/D$8)^E$8</f>
        <v>0</v>
      </c>
      <c r="Z813" s="38">
        <f>1-EXP(Y813-X813)</f>
        <v>8.9273853154187011E-3</v>
      </c>
      <c r="AA813" s="41">
        <f>K813*P813*U813*Z813</f>
        <v>1.3060317021926209E-5</v>
      </c>
      <c r="AB813" s="42">
        <f>1-AA813</f>
        <v>0.99998693968297803</v>
      </c>
      <c r="AC813" s="47">
        <f>(AD813*F$5+AE813*F$6+AF813*F$7+AG813*F$8)+E813</f>
        <v>69.666666666666671</v>
      </c>
      <c r="AD813" s="43">
        <v>0</v>
      </c>
      <c r="AE813" s="1">
        <v>0</v>
      </c>
      <c r="AF813" s="1">
        <v>0</v>
      </c>
      <c r="AG813" s="1">
        <v>0</v>
      </c>
      <c r="AH813" s="74">
        <v>85</v>
      </c>
    </row>
    <row r="814" spans="1:34" x14ac:dyDescent="0.25">
      <c r="A814" s="76">
        <v>2</v>
      </c>
      <c r="B814" s="58">
        <v>9</v>
      </c>
      <c r="C814" s="9">
        <v>500</v>
      </c>
      <c r="D814" s="58">
        <v>2</v>
      </c>
      <c r="E814" s="48">
        <f t="shared" ref="E814:E816" si="85">B814*C814/60+D814</f>
        <v>77</v>
      </c>
      <c r="F814" s="100">
        <v>76</v>
      </c>
      <c r="G814" s="49">
        <f>H813*(1-AD814*C$5)</f>
        <v>69.666666666666671</v>
      </c>
      <c r="H814" s="50">
        <f>G814+E814</f>
        <v>146.66666666666669</v>
      </c>
      <c r="I814" s="15">
        <f>(H814/D$5)^E$5</f>
        <v>0.41749810283193062</v>
      </c>
      <c r="J814" s="15">
        <f>(G814/D$5)^E$5</f>
        <v>0.11516869637804684</v>
      </c>
      <c r="K814" s="29">
        <f>1-EXP(J814-I814)</f>
        <v>0.26090543773277519</v>
      </c>
      <c r="L814" s="51">
        <f>M813*(1-AE814*C$6)</f>
        <v>69.666666666666671</v>
      </c>
      <c r="M814" s="52">
        <f>L814+E814</f>
        <v>146.66666666666669</v>
      </c>
      <c r="N814" s="17">
        <f>(M814/D$6)^E$6</f>
        <v>0.35613584348340649</v>
      </c>
      <c r="O814" s="17">
        <f>(L814/D$6)^E$6</f>
        <v>8.7861714115895329E-2</v>
      </c>
      <c r="P814" s="32">
        <f>1-EXP(O814-N814)</f>
        <v>0.23530187384577195</v>
      </c>
      <c r="Q814" s="53">
        <f>R813*(1-AF814*C$7)</f>
        <v>69.666666666666671</v>
      </c>
      <c r="R814" s="54">
        <f>Q814+E814</f>
        <v>146.66666666666669</v>
      </c>
      <c r="S814" s="16">
        <f>(R814/D$7)^E$7</f>
        <v>1.0634541830073496</v>
      </c>
      <c r="T814" s="16">
        <f>(Q814/D$7)^E$7</f>
        <v>0.17421448251746105</v>
      </c>
      <c r="U814" s="35">
        <f>1-EXP(T814-S814)</f>
        <v>0.58903190715905007</v>
      </c>
      <c r="V814" s="55">
        <f>W813*(1-AG814*C$8)</f>
        <v>69.666666666666671</v>
      </c>
      <c r="W814" s="56">
        <f>V814+E814</f>
        <v>146.66666666666669</v>
      </c>
      <c r="X814" s="18">
        <f>(W814/D$8)^E$8</f>
        <v>5.897056032024859E-2</v>
      </c>
      <c r="Y814" s="18">
        <f>(V814/D$8)^E$8</f>
        <v>8.9674731846197935E-3</v>
      </c>
      <c r="Z814" s="38">
        <f>1-EXP(Y814-X814)</f>
        <v>4.8773512069000713E-2</v>
      </c>
      <c r="AA814" s="41">
        <f>K814*P814*U814*Z814</f>
        <v>1.7637270119788228E-3</v>
      </c>
      <c r="AB814" s="42">
        <f>1-AA814</f>
        <v>0.9982362729880212</v>
      </c>
      <c r="AC814" s="47">
        <f>AF814*F$7+E814+AC813</f>
        <v>146.66666666666669</v>
      </c>
      <c r="AD814" s="43">
        <v>0</v>
      </c>
      <c r="AE814" s="1">
        <v>0</v>
      </c>
      <c r="AF814" s="1">
        <v>0</v>
      </c>
      <c r="AG814" s="1">
        <v>0</v>
      </c>
      <c r="AH814" s="74">
        <v>40</v>
      </c>
    </row>
    <row r="815" spans="1:34" x14ac:dyDescent="0.25">
      <c r="A815" s="24">
        <v>3</v>
      </c>
      <c r="B815" s="9">
        <v>5</v>
      </c>
      <c r="C815" s="58">
        <v>500</v>
      </c>
      <c r="D815" s="58">
        <v>4</v>
      </c>
      <c r="E815" s="48">
        <f t="shared" si="85"/>
        <v>45.666666666666664</v>
      </c>
      <c r="F815" s="100">
        <v>95</v>
      </c>
      <c r="G815" s="68">
        <f>H814*(1-AD815*C$5)</f>
        <v>102.66666666666667</v>
      </c>
      <c r="H815" s="69">
        <f>G815+E815</f>
        <v>148.33333333333334</v>
      </c>
      <c r="I815" s="70">
        <f>(H815/D$5)^E$5</f>
        <v>0.42573974432201439</v>
      </c>
      <c r="J815" s="70">
        <f>(G815/D$5)^E$5</f>
        <v>0.22525483181366224</v>
      </c>
      <c r="K815" s="29">
        <f>1-EXP(J815-I815)</f>
        <v>0.18166616346248299</v>
      </c>
      <c r="L815" s="51">
        <f>M814*(1-AE815*C$6)</f>
        <v>102.66666666666667</v>
      </c>
      <c r="M815" s="52">
        <f>L815+E815</f>
        <v>148.33333333333334</v>
      </c>
      <c r="N815" s="17">
        <f>(M815/D$6)^E$6</f>
        <v>0.36378222468595994</v>
      </c>
      <c r="O815" s="17">
        <f>(L815/D$6)^E$6</f>
        <v>0.18213776408892768</v>
      </c>
      <c r="P815" s="32">
        <f>1-EXP(O815-N815)</f>
        <v>0.16610222876808511</v>
      </c>
      <c r="Q815" s="53">
        <f>R814*(1-AF815*C$7)</f>
        <v>102.66666666666667</v>
      </c>
      <c r="R815" s="54">
        <f>Q815+E815</f>
        <v>148.33333333333334</v>
      </c>
      <c r="S815" s="16">
        <f>(R815/D$7)^E$7</f>
        <v>1.0930590055302554</v>
      </c>
      <c r="T815" s="16">
        <f>(Q815/D$7)^E$7</f>
        <v>0.44699948326797367</v>
      </c>
      <c r="U815" s="35">
        <f>1-EXP(T815-S815)</f>
        <v>0.4758930551511471</v>
      </c>
      <c r="V815" s="55">
        <f>W814*(1-AG815*C$8)</f>
        <v>102.66666666666667</v>
      </c>
      <c r="W815" s="56">
        <f>V815+E815</f>
        <v>148.33333333333334</v>
      </c>
      <c r="X815" s="18">
        <f>(W815/D$8)^E$8</f>
        <v>6.0680731930468294E-2</v>
      </c>
      <c r="Y815" s="18">
        <f>(V815/D$8)^E$8</f>
        <v>2.3918464493037566E-2</v>
      </c>
      <c r="Z815" s="38">
        <f>1-EXP(Y815-X815)</f>
        <v>3.6094740219713151E-2</v>
      </c>
      <c r="AA815" s="41">
        <f>K815*P815*U815*Z815</f>
        <v>5.183257586130768E-4</v>
      </c>
      <c r="AB815" s="42">
        <f>1-AA815</f>
        <v>0.9994816742413869</v>
      </c>
      <c r="AC815" s="47">
        <f>(AF815*F$7)+E815+AC814</f>
        <v>200.33333333333334</v>
      </c>
      <c r="AD815" s="77">
        <v>1</v>
      </c>
      <c r="AE815" s="78">
        <v>1</v>
      </c>
      <c r="AF815" s="78">
        <v>1</v>
      </c>
      <c r="AG815" s="78">
        <v>1</v>
      </c>
      <c r="AH815" s="74">
        <v>67</v>
      </c>
    </row>
    <row r="816" spans="1:34" ht="15.75" thickBot="1" x14ac:dyDescent="0.3">
      <c r="A816" s="57">
        <v>1</v>
      </c>
      <c r="B816" s="58">
        <v>6</v>
      </c>
      <c r="C816" s="58">
        <v>500</v>
      </c>
      <c r="D816" s="9">
        <v>5</v>
      </c>
      <c r="E816" s="48">
        <f t="shared" si="85"/>
        <v>55</v>
      </c>
      <c r="F816" s="100">
        <v>106</v>
      </c>
      <c r="G816" s="68">
        <f>H815*(1-AD816*C$5)</f>
        <v>103.83333333333333</v>
      </c>
      <c r="H816" s="69">
        <f>G816+E816</f>
        <v>158.83333333333331</v>
      </c>
      <c r="I816" s="70">
        <f>(H816/D$5)^E$5</f>
        <v>0.47921477720274397</v>
      </c>
      <c r="J816" s="70">
        <f>(G816/D$5)^E$5</f>
        <v>0.22970148571490079</v>
      </c>
      <c r="K816" s="29">
        <f>1-EXP(J816-I816)</f>
        <v>0.22082007570005269</v>
      </c>
      <c r="L816" s="51">
        <f>M815*(1-AE816*C$6)</f>
        <v>103.83333333333333</v>
      </c>
      <c r="M816" s="52">
        <f>L816+E816</f>
        <v>158.83333333333331</v>
      </c>
      <c r="N816" s="17">
        <f>(M816/D$6)^E$6</f>
        <v>0.41369751790718035</v>
      </c>
      <c r="O816" s="17">
        <f>(L816/D$6)^E$6</f>
        <v>0.1860483358583474</v>
      </c>
      <c r="P816" s="32">
        <f>1-EXP(O816-N816)</f>
        <v>0.203596396486313</v>
      </c>
      <c r="Q816" s="53">
        <f>R815*(1-AF816*C$7)</f>
        <v>103.83333333333333</v>
      </c>
      <c r="R816" s="54">
        <f>Q816+E816</f>
        <v>158.83333333333331</v>
      </c>
      <c r="S816" s="16">
        <f>(R816/D$7)^E$7</f>
        <v>1.2906890901009902</v>
      </c>
      <c r="T816" s="16">
        <f>(Q816/D$7)^E$7</f>
        <v>0.45944321669949417</v>
      </c>
      <c r="U816" s="35">
        <f>1-EXP(T816-S816)</f>
        <v>0.56449363760856475</v>
      </c>
      <c r="V816" s="55">
        <f>W815*(1-AG816*C$8)</f>
        <v>103.83333333333333</v>
      </c>
      <c r="W816" s="56">
        <f>V816+E816</f>
        <v>158.83333333333331</v>
      </c>
      <c r="X816" s="18">
        <f>(W816/D$8)^E$8</f>
        <v>7.2143819670068277E-2</v>
      </c>
      <c r="Y816" s="18">
        <f>(V816/D$8)^E$8</f>
        <v>2.4612110249732123E-2</v>
      </c>
      <c r="Z816" s="38">
        <f>1-EXP(Y816-X816)</f>
        <v>4.6419764823286691E-2</v>
      </c>
      <c r="AA816" s="41">
        <f>K816*P816*U816*Z816</f>
        <v>1.1780687305505881E-3</v>
      </c>
      <c r="AB816" s="42">
        <f>1-AA816</f>
        <v>0.9988219312694494</v>
      </c>
      <c r="AC816" s="47">
        <f>(AF816*F$7)+E816+AC815</f>
        <v>263.33333333333337</v>
      </c>
      <c r="AD816" s="80">
        <v>1</v>
      </c>
      <c r="AE816" s="45">
        <v>1</v>
      </c>
      <c r="AF816" s="81">
        <v>1</v>
      </c>
      <c r="AG816" s="45">
        <v>1</v>
      </c>
      <c r="AH816" s="94">
        <v>110</v>
      </c>
    </row>
    <row r="817" spans="1:33" ht="18.75" x14ac:dyDescent="0.3">
      <c r="A817" s="132" t="s">
        <v>53</v>
      </c>
      <c r="B817" s="132"/>
      <c r="C817" s="132"/>
      <c r="D817" s="132"/>
      <c r="E817" s="132"/>
      <c r="F817" s="132"/>
      <c r="G817" s="132"/>
      <c r="H817" s="132"/>
      <c r="I817" s="132"/>
      <c r="J817" s="132"/>
      <c r="AG817" s="46"/>
    </row>
    <row r="818" spans="1:33" ht="15.75" x14ac:dyDescent="0.25">
      <c r="A818" s="19" t="s">
        <v>82</v>
      </c>
      <c r="B818" s="60" t="s">
        <v>49</v>
      </c>
      <c r="C818" s="61" t="s">
        <v>50</v>
      </c>
      <c r="D818" s="19" t="s">
        <v>48</v>
      </c>
      <c r="E818" s="60" t="s">
        <v>57</v>
      </c>
      <c r="F818" s="61" t="s">
        <v>50</v>
      </c>
      <c r="G818" s="19" t="s">
        <v>54</v>
      </c>
      <c r="H818" s="60" t="s">
        <v>61</v>
      </c>
      <c r="I818" s="61" t="s">
        <v>50</v>
      </c>
      <c r="J818" s="19" t="s">
        <v>58</v>
      </c>
      <c r="K818" s="83" t="s">
        <v>84</v>
      </c>
      <c r="L818" s="61" t="s">
        <v>50</v>
      </c>
      <c r="M818" s="61" t="s">
        <v>85</v>
      </c>
      <c r="O818" s="174" t="s">
        <v>64</v>
      </c>
      <c r="P818" s="174"/>
      <c r="Q818" s="175" t="s">
        <v>109</v>
      </c>
      <c r="R818" s="175"/>
    </row>
    <row r="819" spans="1:33" ht="24.75" x14ac:dyDescent="0.25">
      <c r="A819" s="61" t="s">
        <v>51</v>
      </c>
      <c r="B819" s="1">
        <f>AA813</f>
        <v>1.3060317021926209E-5</v>
      </c>
      <c r="C819" s="59">
        <f>MAX(AC813+1*L806-F813,0)</f>
        <v>0</v>
      </c>
      <c r="D819" s="62" t="s">
        <v>55</v>
      </c>
      <c r="E819" s="1">
        <f>AA813*AA814</f>
        <v>2.3034833916578068E-8</v>
      </c>
      <c r="F819" s="1">
        <f>MAX(AC814+2*L806-F814,0)</f>
        <v>94.666666666666686</v>
      </c>
      <c r="G819" s="62" t="s">
        <v>59</v>
      </c>
      <c r="H819" s="1">
        <f>AA813*AA814*AA815</f>
        <v>1.1939547764336559E-11</v>
      </c>
      <c r="I819" s="1">
        <f>AC815+3*L806-F815</f>
        <v>141.33333333333334</v>
      </c>
      <c r="J819" s="62" t="s">
        <v>83</v>
      </c>
      <c r="K819" s="1">
        <f>AA813*AA814*AA815*AA816</f>
        <v>1.4065607878080082E-14</v>
      </c>
      <c r="L819" s="1">
        <f>AC816+4*L806-F816</f>
        <v>205.33333333333337</v>
      </c>
      <c r="M819" s="1">
        <f>B819*C819*AH813+E819*F819*AH814+H819*I819*AH815+K819*L819*AH816</f>
        <v>8.7338615016935338E-5</v>
      </c>
      <c r="O819" s="1" t="s">
        <v>27</v>
      </c>
      <c r="P819" s="1">
        <f>2*H804</f>
        <v>3640</v>
      </c>
      <c r="Q819" s="1">
        <f>(K813*(1-P813)*(1-U813)*(1-Z813))+(P813*(1-K813)*(1-U813)*(1-Z813))+(U813*(1-K813)*(1-P813)*(1-Z813))+(Z813*(1-K813)*(1-P813)*(1-U813))</f>
        <v>0.28083409477630866</v>
      </c>
      <c r="R819" s="1">
        <f>Q819*(L$7*(J$5*K$5+L$5)+I$5)</f>
        <v>9897.9976703909997</v>
      </c>
    </row>
    <row r="820" spans="1:33" ht="24.75" x14ac:dyDescent="0.25">
      <c r="A820" s="62" t="s">
        <v>52</v>
      </c>
      <c r="B820" s="1">
        <f>AB813</f>
        <v>0.99998693968297803</v>
      </c>
      <c r="C820" s="59">
        <f>MAX(AC813-F813,0)</f>
        <v>0</v>
      </c>
      <c r="D820" s="62" t="s">
        <v>56</v>
      </c>
      <c r="E820" s="1">
        <f>AA813*AB814+AA814*AB813</f>
        <v>1.7767412593329157E-3</v>
      </c>
      <c r="F820" s="1">
        <f>MAX(AC814+1*L806-F814,0)</f>
        <v>82.666666666666686</v>
      </c>
      <c r="G820" s="62" t="s">
        <v>60</v>
      </c>
      <c r="H820" s="1">
        <f>AA813*AA814*AB815+AA814*AA815*AB813+AA813*AA815*AB814</f>
        <v>9.4395365547170079E-7</v>
      </c>
      <c r="I820" s="1">
        <f>AC815+2*L806-F815</f>
        <v>129.33333333333334</v>
      </c>
      <c r="J820" s="62" t="s">
        <v>59</v>
      </c>
      <c r="K820">
        <f>AB813*AA814*AA815*AA816+AB814*AA813*AA815*AA816*+AB815*AA813*AA814*AA816+AB816*AA813*AA814*AA815</f>
        <v>1.0888843456489206E-9</v>
      </c>
      <c r="L820" s="1">
        <f>AC816+3*L806-F816</f>
        <v>193.33333333333337</v>
      </c>
      <c r="M820" s="1">
        <f>B820*C820*AH813+E820*F820*AH814+H820*I820*AH815+K820*L820*AH816</f>
        <v>5.8832939275438072</v>
      </c>
      <c r="O820" s="1" t="s">
        <v>28</v>
      </c>
      <c r="P820" s="1">
        <f>2*H805</f>
        <v>5440</v>
      </c>
      <c r="Q820" s="1">
        <f t="shared" ref="Q820:Q822" si="86">(K814*(1-P814)*(1-U814)*(1-Z814))+(P814*(1-K814)*(1-U814)*(1-Z814))+(U814*(1-K814)*(1-P814)*(1-Z814))+(Z814*(1-K814)*(1-P814)*(1-U814))</f>
        <v>0.47398342923204934</v>
      </c>
      <c r="R820" s="1">
        <f t="shared" ref="R820:R822" si="87">Q820*(L$7*(J$5*K$5+L$5)+I$5)</f>
        <v>16705.545963283577</v>
      </c>
    </row>
    <row r="821" spans="1:33" ht="24.75" x14ac:dyDescent="0.25">
      <c r="A821" s="1"/>
      <c r="B821" s="1"/>
      <c r="C821" s="1"/>
      <c r="D821" s="62" t="s">
        <v>52</v>
      </c>
      <c r="E821" s="1">
        <f>AB813*AB814</f>
        <v>0.99822323570583316</v>
      </c>
      <c r="F821" s="59">
        <f>MAX(AC814-F814,0)</f>
        <v>70.666666666666686</v>
      </c>
      <c r="G821" s="62" t="s">
        <v>56</v>
      </c>
      <c r="H821" s="1">
        <f>AA813*AB814*AB815+AA814*AB813*AB815*+AA815*AB813*AB814</f>
        <v>1.3942600562830701E-5</v>
      </c>
      <c r="I821" s="1">
        <f>AC815+1*L806-F815</f>
        <v>117.33333333333334</v>
      </c>
      <c r="J821" s="62" t="s">
        <v>60</v>
      </c>
      <c r="K821" s="1">
        <f>AA813*AA814*AB815*AB816 + AA813*AA815*AB814*AB816 + AA813*AA816*AB814*AB815 + AA814*AA815*AB813*AB816 + AA814*AA816*AB813*AB815 + AA815*AA816*AB813*AB814</f>
        <v>3.6444184480163369E-6</v>
      </c>
      <c r="L821" s="1">
        <f>AC816+2*L806-F816</f>
        <v>181.33333333333337</v>
      </c>
      <c r="M821" s="1">
        <f>B821*C821*AH813+E821*F821*AH814+H821*I821*AH815+K821*L821*AH816</f>
        <v>2821.8266476923568</v>
      </c>
      <c r="O821" s="1" t="s">
        <v>29</v>
      </c>
      <c r="P821" s="1">
        <f>2*(F806*(J804*K804+L804)+H806)</f>
        <v>28200</v>
      </c>
      <c r="Q821" s="1">
        <f t="shared" si="86"/>
        <v>0.47114079015796229</v>
      </c>
      <c r="R821" s="1">
        <f t="shared" si="87"/>
        <v>16605.357149117383</v>
      </c>
    </row>
    <row r="822" spans="1:33" ht="24.75" x14ac:dyDescent="0.25">
      <c r="A822" s="1"/>
      <c r="B822" s="1"/>
      <c r="C822" s="1"/>
      <c r="D822" s="1"/>
      <c r="E822" s="1"/>
      <c r="F822" s="1"/>
      <c r="G822" s="62" t="s">
        <v>52</v>
      </c>
      <c r="H822" s="1">
        <f>AB813*AB814*AB815</f>
        <v>0.99770583088992071</v>
      </c>
      <c r="I822" s="63">
        <f>AC815-F815</f>
        <v>105.33333333333334</v>
      </c>
      <c r="J822" s="62" t="s">
        <v>56</v>
      </c>
      <c r="K822" s="1">
        <f>AA813*AB814*AB815*AB816+AA814*AB813*AB815*AB816+AA815*AB813*AB814*AB816+AA816*AB813*AB814*AB815</f>
        <v>3.4658896093088185E-3</v>
      </c>
      <c r="L822" s="1">
        <f>AC816+1*L806-F816</f>
        <v>169.33333333333337</v>
      </c>
      <c r="M822" s="1">
        <f>B822*C822*AH813+E822*F822*AH814+H822*I822*AH815+K822*L822*AH816</f>
        <v>7105.7005876565263</v>
      </c>
      <c r="O822" s="1" t="s">
        <v>30</v>
      </c>
      <c r="P822" s="1">
        <f>2*H807</f>
        <v>8640</v>
      </c>
      <c r="Q822" s="1">
        <f t="shared" si="86"/>
        <v>0.48549095650113577</v>
      </c>
      <c r="R822" s="1">
        <f t="shared" si="87"/>
        <v>17111.12876188253</v>
      </c>
    </row>
    <row r="823" spans="1:33" ht="30" x14ac:dyDescent="0.25">
      <c r="I823" s="84"/>
      <c r="J823" s="62" t="s">
        <v>52</v>
      </c>
      <c r="K823" s="85">
        <f>AB813*AB814*AB815*AB816</f>
        <v>0.99653046484826124</v>
      </c>
      <c r="L823" s="1">
        <f>AC816+0*L806-F816</f>
        <v>157.33333333333337</v>
      </c>
      <c r="M823" s="1">
        <f>B823*C823*AH813+E823*F823*AH814+H823*I823*AH815+K823*L823*AH816</f>
        <v>17246.620578307244</v>
      </c>
      <c r="O823" s="64" t="s">
        <v>65</v>
      </c>
      <c r="P823" s="65">
        <f>SUM(P819:P822)</f>
        <v>45920</v>
      </c>
      <c r="Q823" s="96" t="s">
        <v>108</v>
      </c>
      <c r="R823" s="97">
        <f>SUM(R819:R822)</f>
        <v>60320.029544674486</v>
      </c>
    </row>
    <row r="824" spans="1:33" x14ac:dyDescent="0.25">
      <c r="L824" s="176" t="s">
        <v>63</v>
      </c>
      <c r="M824" s="177">
        <f>SUM(M819:M823)</f>
        <v>27180.031194922285</v>
      </c>
    </row>
    <row r="825" spans="1:33" x14ac:dyDescent="0.25">
      <c r="L825" s="176"/>
      <c r="M825" s="177"/>
    </row>
    <row r="826" spans="1:33" x14ac:dyDescent="0.25">
      <c r="A826" s="178" t="s">
        <v>90</v>
      </c>
      <c r="B826" s="178"/>
      <c r="C826" s="178"/>
      <c r="D826" s="178"/>
      <c r="E826" s="178"/>
      <c r="F826" s="178"/>
      <c r="G826" s="178"/>
      <c r="H826" s="178"/>
      <c r="I826" s="178"/>
      <c r="J826" s="178"/>
      <c r="K826" s="178"/>
      <c r="L826" s="178"/>
      <c r="M826" s="178"/>
      <c r="N826" s="178"/>
    </row>
    <row r="827" spans="1:33" ht="15.75" x14ac:dyDescent="0.25">
      <c r="A827" s="87" t="s">
        <v>86</v>
      </c>
      <c r="B827" s="62" t="s">
        <v>49</v>
      </c>
      <c r="C827" s="90" t="s">
        <v>103</v>
      </c>
      <c r="D827" s="62" t="s">
        <v>88</v>
      </c>
      <c r="E827" s="87" t="s">
        <v>75</v>
      </c>
      <c r="F827" s="62" t="s">
        <v>57</v>
      </c>
      <c r="G827" s="90" t="s">
        <v>87</v>
      </c>
      <c r="H827" s="62" t="s">
        <v>88</v>
      </c>
      <c r="I827" s="87" t="s">
        <v>76</v>
      </c>
      <c r="J827" s="62" t="s">
        <v>61</v>
      </c>
      <c r="K827" s="90" t="s">
        <v>102</v>
      </c>
      <c r="L827" s="62" t="s">
        <v>88</v>
      </c>
      <c r="M827" s="87" t="s">
        <v>77</v>
      </c>
      <c r="N827" s="62" t="s">
        <v>84</v>
      </c>
      <c r="O827" s="90" t="s">
        <v>78</v>
      </c>
      <c r="P827" s="62" t="s">
        <v>88</v>
      </c>
    </row>
    <row r="828" spans="1:33" ht="24.75" x14ac:dyDescent="0.25">
      <c r="A828" s="62" t="s">
        <v>51</v>
      </c>
      <c r="B828" s="86">
        <v>1.3060317021926209E-5</v>
      </c>
      <c r="C828" s="86">
        <f>AC813+1*L806</f>
        <v>81.666666666666671</v>
      </c>
      <c r="D828" s="86">
        <f>MAX(B828*1.5*((C828-F813)*500/2),0)</f>
        <v>0</v>
      </c>
      <c r="E828" s="62" t="s">
        <v>55</v>
      </c>
      <c r="F828" s="86">
        <v>1.8868178733782354E-8</v>
      </c>
      <c r="G828" s="86">
        <f>AC814+2*L806</f>
        <v>170.66666666666669</v>
      </c>
      <c r="H828" s="86">
        <f>F828*1.5*((G828-F814)*500/2+(G828-F815)*500+(G828-F816)*500)</f>
        <v>2.6556961567798668E-3</v>
      </c>
      <c r="I828" s="62" t="s">
        <v>59</v>
      </c>
      <c r="J828" s="86">
        <v>1.3441389242218106E-11</v>
      </c>
      <c r="K828" s="86">
        <f>AC815+3*L806</f>
        <v>236.33333333333334</v>
      </c>
      <c r="L828" s="86">
        <f>J828*1.5*((K828-G828)*500/2+(K828-G828)*500)</f>
        <v>9.9298263026886239E-7</v>
      </c>
      <c r="M828" s="62" t="s">
        <v>83</v>
      </c>
      <c r="N828" s="86">
        <v>2.0039913669645436E-14</v>
      </c>
      <c r="O828" s="86">
        <f>AC816+4*L806</f>
        <v>311.33333333333337</v>
      </c>
      <c r="P828" s="86">
        <f>N828*1.5*((O828-K828)*500/2)</f>
        <v>5.636225719587781E-10</v>
      </c>
    </row>
    <row r="829" spans="1:33" ht="24.75" x14ac:dyDescent="0.25">
      <c r="A829" s="62" t="s">
        <v>52</v>
      </c>
      <c r="B829" s="86">
        <v>0.99998693968297803</v>
      </c>
      <c r="C829" s="88">
        <f>AC813</f>
        <v>69.666666666666671</v>
      </c>
      <c r="D829" s="86">
        <f>MAX(B829*1.5*((C829-F813)*500/2),0)</f>
        <v>0</v>
      </c>
      <c r="E829" s="62" t="s">
        <v>56</v>
      </c>
      <c r="F829" s="86">
        <v>1.4577178895230157E-3</v>
      </c>
      <c r="G829" s="86">
        <f>AC814+1*L806</f>
        <v>158.66666666666669</v>
      </c>
      <c r="H829" s="86">
        <f>F829*1.5*((G829-F814)*500/2+(G829-F815)*500+(G829-F816)*500)</f>
        <v>172.37514043609664</v>
      </c>
      <c r="I829" s="62" t="s">
        <v>60</v>
      </c>
      <c r="J829" s="86">
        <v>1.0573096849512263E-6</v>
      </c>
      <c r="K829" s="86">
        <f>AC815+2*L806</f>
        <v>224.33333333333334</v>
      </c>
      <c r="L829" s="86">
        <f>J829*1.5*((K829-G829)*500/2+(K829-G829)*500)</f>
        <v>7.8108752975771828E-2</v>
      </c>
      <c r="M829" s="62" t="s">
        <v>59</v>
      </c>
      <c r="N829" s="86">
        <v>1.5478138076725148E-9</v>
      </c>
      <c r="O829" s="86">
        <f>AC816+3*L806</f>
        <v>299.33333333333337</v>
      </c>
      <c r="P829" s="86">
        <f>N829*1.5*((O829-K829)*500/2)</f>
        <v>4.3532263340789499E-5</v>
      </c>
    </row>
    <row r="830" spans="1:33" x14ac:dyDescent="0.25">
      <c r="A830" s="86"/>
      <c r="B830" s="86"/>
      <c r="C830" s="89" t="s">
        <v>89</v>
      </c>
      <c r="D830" s="89">
        <f>SUM(D828:D829)</f>
        <v>0</v>
      </c>
      <c r="E830" s="62" t="s">
        <v>52</v>
      </c>
      <c r="F830" s="86">
        <v>0.99854226324229811</v>
      </c>
      <c r="G830" s="86">
        <f>AC814+0*L806</f>
        <v>146.66666666666669</v>
      </c>
      <c r="H830" s="86">
        <f>F830*1.5*((G830-F814)*500/2+(G830-F815)*500+(G830-F816)*500)</f>
        <v>95610.421705450077</v>
      </c>
      <c r="I830" s="62" t="s">
        <v>56</v>
      </c>
      <c r="J830" s="86">
        <v>1.4059090408614137E-5</v>
      </c>
      <c r="K830" s="86">
        <f>AC815+1*L806</f>
        <v>212.33333333333334</v>
      </c>
      <c r="L830" s="86">
        <f>J830*1.5*((K830-G830)*500/2+(K830-G830)*500)</f>
        <v>1.0386153039363692</v>
      </c>
      <c r="M830" s="62" t="s">
        <v>60</v>
      </c>
      <c r="N830" s="86">
        <v>4.28806542152295E-6</v>
      </c>
      <c r="O830" s="86">
        <f>AC816+2*L806</f>
        <v>287.33333333333337</v>
      </c>
      <c r="P830" s="86">
        <f>N830*1.5*((O830-K830)*500/2)</f>
        <v>0.12060183998033303</v>
      </c>
    </row>
    <row r="831" spans="1:33" x14ac:dyDescent="0.25">
      <c r="A831" s="86"/>
      <c r="B831" s="86"/>
      <c r="C831" s="86"/>
      <c r="D831" s="86"/>
      <c r="E831" s="86"/>
      <c r="F831" s="86"/>
      <c r="G831" s="89" t="s">
        <v>79</v>
      </c>
      <c r="H831" s="89">
        <f>SUM(H828:H830)</f>
        <v>95782.799501582325</v>
      </c>
      <c r="I831" s="62" t="s">
        <v>52</v>
      </c>
      <c r="J831" s="86">
        <v>0.99783091767872156</v>
      </c>
      <c r="K831" s="86">
        <f>AC815+0*L806</f>
        <v>200.33333333333334</v>
      </c>
      <c r="L831" s="86">
        <f>J831*1.5*((K831-G830)*500/2+(K831-G830)*500)</f>
        <v>60244.041654852808</v>
      </c>
      <c r="M831" s="62" t="s">
        <v>56</v>
      </c>
      <c r="N831" s="86">
        <v>3.6524696529289659E-3</v>
      </c>
      <c r="O831" s="86">
        <f>AC816+1*L806</f>
        <v>275.33333333333337</v>
      </c>
      <c r="P831" s="86">
        <f>N831*1.5*((O831-K831)*500/2)</f>
        <v>102.7257089886272</v>
      </c>
    </row>
    <row r="832" spans="1:33" x14ac:dyDescent="0.25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9" t="s">
        <v>79</v>
      </c>
      <c r="L832" s="89">
        <f>SUM(L828:L831)</f>
        <v>60245.158379902707</v>
      </c>
      <c r="M832" s="62" t="s">
        <v>52</v>
      </c>
      <c r="N832" s="86">
        <v>0.99634324069185343</v>
      </c>
      <c r="O832" s="86">
        <f>AC816+0*L806</f>
        <v>263.33333333333337</v>
      </c>
      <c r="P832" s="86">
        <f>N832*1.5*((O832-K831)*500/2)</f>
        <v>23538.609061345047</v>
      </c>
      <c r="Q832" s="179" t="s">
        <v>80</v>
      </c>
      <c r="R832" s="179"/>
      <c r="S832" s="180">
        <f>D830+H831+L832+P833</f>
        <v>179669.4132971915</v>
      </c>
      <c r="T832" s="180"/>
    </row>
    <row r="833" spans="1:22" x14ac:dyDescent="0.25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9" t="s">
        <v>79</v>
      </c>
      <c r="P833" s="89">
        <f>SUM(P828:P832)</f>
        <v>23641.455415706481</v>
      </c>
      <c r="Q833" s="179"/>
      <c r="R833" s="179"/>
      <c r="S833" s="180"/>
      <c r="T833" s="180"/>
    </row>
    <row r="834" spans="1:22" x14ac:dyDescent="0.25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</row>
    <row r="835" spans="1:22" x14ac:dyDescent="0.25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</row>
    <row r="836" spans="1:22" x14ac:dyDescent="0.25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</row>
    <row r="837" spans="1:22" ht="24.75" thickBot="1" x14ac:dyDescent="0.3">
      <c r="O837" s="131" t="s">
        <v>81</v>
      </c>
      <c r="P837" s="131"/>
      <c r="Q837" s="131">
        <f>(R823+P823+M824+S832)/AC816</f>
        <v>1188.9473697599553</v>
      </c>
      <c r="R837" s="131"/>
    </row>
    <row r="838" spans="1:22" x14ac:dyDescent="0.25">
      <c r="A838" s="181" t="s">
        <v>127</v>
      </c>
      <c r="B838" s="182"/>
    </row>
    <row r="839" spans="1:22" ht="15.75" thickBot="1" x14ac:dyDescent="0.3">
      <c r="A839" s="183"/>
      <c r="B839" s="184"/>
    </row>
    <row r="840" spans="1:22" ht="21" x14ac:dyDescent="0.35">
      <c r="A840" s="185" t="s">
        <v>14</v>
      </c>
      <c r="B840" s="185"/>
      <c r="C840" s="165"/>
      <c r="D840" s="165"/>
      <c r="E840" s="165"/>
      <c r="F840" s="165"/>
      <c r="G840" s="165"/>
      <c r="H840" s="165"/>
      <c r="I840" s="165"/>
      <c r="J840" s="165"/>
      <c r="K840" s="165"/>
      <c r="L840" s="165"/>
      <c r="M840" s="165"/>
      <c r="O840" s="166" t="s">
        <v>72</v>
      </c>
      <c r="P840" s="166"/>
      <c r="Q840" s="166"/>
      <c r="R840" s="166"/>
      <c r="S840" s="166"/>
      <c r="T840" s="166"/>
      <c r="U840" s="166"/>
      <c r="V840" s="166"/>
    </row>
    <row r="841" spans="1:22" ht="36" x14ac:dyDescent="0.25">
      <c r="A841" s="4" t="s">
        <v>15</v>
      </c>
      <c r="B841" s="4" t="s">
        <v>16</v>
      </c>
      <c r="C841" s="4" t="s">
        <v>31</v>
      </c>
      <c r="D841" s="6" t="s">
        <v>17</v>
      </c>
      <c r="E841" s="6" t="s">
        <v>18</v>
      </c>
      <c r="F841" s="6" t="s">
        <v>19</v>
      </c>
      <c r="G841" s="6" t="s">
        <v>20</v>
      </c>
      <c r="H841" s="6" t="s">
        <v>21</v>
      </c>
      <c r="I841" s="6" t="s">
        <v>22</v>
      </c>
      <c r="J841" s="6" t="s">
        <v>23</v>
      </c>
      <c r="K841" s="6" t="s">
        <v>24</v>
      </c>
      <c r="L841" s="6" t="s">
        <v>25</v>
      </c>
      <c r="M841" s="6" t="s">
        <v>26</v>
      </c>
      <c r="N841" s="8"/>
      <c r="O841" s="167" t="s">
        <v>32</v>
      </c>
      <c r="P841" s="167" t="s">
        <v>35</v>
      </c>
      <c r="Q841" s="167" t="s">
        <v>66</v>
      </c>
      <c r="R841" s="99" t="s">
        <v>67</v>
      </c>
      <c r="S841" s="99" t="s">
        <v>68</v>
      </c>
      <c r="T841" s="167" t="s">
        <v>69</v>
      </c>
      <c r="U841" s="71" t="s">
        <v>33</v>
      </c>
      <c r="V841" s="99" t="s">
        <v>70</v>
      </c>
    </row>
    <row r="842" spans="1:22" x14ac:dyDescent="0.25">
      <c r="A842" s="3" t="s">
        <v>27</v>
      </c>
      <c r="B842" s="3">
        <v>0</v>
      </c>
      <c r="C842" s="3">
        <v>0.3</v>
      </c>
      <c r="D842" s="3">
        <v>243</v>
      </c>
      <c r="E842" s="3">
        <v>1.73</v>
      </c>
      <c r="F842" s="3">
        <v>5</v>
      </c>
      <c r="G842" s="169">
        <v>12</v>
      </c>
      <c r="H842" s="3">
        <v>1820</v>
      </c>
      <c r="I842" s="169">
        <v>19645</v>
      </c>
      <c r="J842" s="3">
        <v>20</v>
      </c>
      <c r="K842" s="3">
        <v>40</v>
      </c>
      <c r="L842" s="3">
        <v>500</v>
      </c>
      <c r="M842" s="3">
        <v>1000</v>
      </c>
      <c r="O842" s="168"/>
      <c r="P842" s="168"/>
      <c r="Q842" s="168"/>
      <c r="R842" s="72" t="s">
        <v>71</v>
      </c>
      <c r="S842" s="72" t="s">
        <v>71</v>
      </c>
      <c r="T842" s="168"/>
      <c r="U842" s="73">
        <v>500</v>
      </c>
      <c r="V842" s="3">
        <v>1.5</v>
      </c>
    </row>
    <row r="843" spans="1:22" x14ac:dyDescent="0.25">
      <c r="A843" s="3" t="s">
        <v>28</v>
      </c>
      <c r="B843" s="3">
        <v>0</v>
      </c>
      <c r="C843" s="3">
        <v>0.3</v>
      </c>
      <c r="D843" s="3">
        <v>254</v>
      </c>
      <c r="E843" s="3">
        <v>1.88</v>
      </c>
      <c r="F843" s="3">
        <v>3</v>
      </c>
      <c r="G843" s="170"/>
      <c r="H843" s="3">
        <v>2720</v>
      </c>
      <c r="I843" s="170"/>
      <c r="J843" s="5"/>
      <c r="K843" s="5"/>
      <c r="L843" s="5"/>
      <c r="M843" s="5"/>
      <c r="O843" s="74">
        <v>1</v>
      </c>
      <c r="P843" s="74">
        <v>106</v>
      </c>
      <c r="Q843" s="74">
        <v>110</v>
      </c>
      <c r="R843" s="74">
        <v>6</v>
      </c>
      <c r="S843" s="74">
        <v>5</v>
      </c>
      <c r="T843" s="74">
        <f>R843*$U$5/60+S843</f>
        <v>55</v>
      </c>
      <c r="U843" s="75"/>
    </row>
    <row r="844" spans="1:22" x14ac:dyDescent="0.25">
      <c r="A844" s="3" t="s">
        <v>29</v>
      </c>
      <c r="B844" s="3">
        <v>0</v>
      </c>
      <c r="C844" s="3">
        <v>0.3</v>
      </c>
      <c r="D844" s="3">
        <v>143</v>
      </c>
      <c r="E844" s="3">
        <v>2.4300000000000002</v>
      </c>
      <c r="F844" s="3">
        <v>8</v>
      </c>
      <c r="G844" s="170"/>
      <c r="H844" s="3">
        <v>3700</v>
      </c>
      <c r="I844" s="170"/>
      <c r="J844" s="5"/>
      <c r="K844" s="140" t="s">
        <v>73</v>
      </c>
      <c r="L844" s="141">
        <v>12</v>
      </c>
      <c r="M844" s="140" t="s">
        <v>74</v>
      </c>
      <c r="N844" s="141">
        <v>19645</v>
      </c>
      <c r="O844" s="74">
        <v>2</v>
      </c>
      <c r="P844" s="74">
        <v>76</v>
      </c>
      <c r="Q844" s="74">
        <v>40</v>
      </c>
      <c r="R844" s="74">
        <v>9</v>
      </c>
      <c r="S844" s="74">
        <v>2</v>
      </c>
      <c r="T844" s="74">
        <f t="shared" ref="T844:T846" si="88">R844*$U$5/60+S844</f>
        <v>77</v>
      </c>
      <c r="U844" s="75"/>
    </row>
    <row r="845" spans="1:22" x14ac:dyDescent="0.25">
      <c r="A845" s="3" t="s">
        <v>30</v>
      </c>
      <c r="B845" s="3">
        <v>0</v>
      </c>
      <c r="C845" s="3">
        <v>0.3</v>
      </c>
      <c r="D845" s="3">
        <v>449</v>
      </c>
      <c r="E845" s="3">
        <v>2.5299999999999998</v>
      </c>
      <c r="F845" s="3">
        <v>4</v>
      </c>
      <c r="G845" s="171"/>
      <c r="H845" s="3">
        <v>4320</v>
      </c>
      <c r="I845" s="171"/>
      <c r="J845" s="5"/>
      <c r="K845" s="140"/>
      <c r="L845" s="141"/>
      <c r="M845" s="140"/>
      <c r="N845" s="141"/>
      <c r="O845" s="74">
        <v>3</v>
      </c>
      <c r="P845" s="74">
        <v>95</v>
      </c>
      <c r="Q845" s="74">
        <v>67</v>
      </c>
      <c r="R845" s="74">
        <v>5</v>
      </c>
      <c r="S845" s="74">
        <v>4</v>
      </c>
      <c r="T845" s="74">
        <f t="shared" si="88"/>
        <v>45.666666666666664</v>
      </c>
      <c r="U845" s="75"/>
    </row>
    <row r="846" spans="1:22" ht="15.75" thickBo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O846" s="74">
        <v>4</v>
      </c>
      <c r="P846" s="74">
        <v>140</v>
      </c>
      <c r="Q846" s="94">
        <v>85</v>
      </c>
      <c r="R846" s="94">
        <v>8</v>
      </c>
      <c r="S846" s="94">
        <v>3</v>
      </c>
      <c r="T846" s="74">
        <f t="shared" si="88"/>
        <v>69.666666666666671</v>
      </c>
    </row>
    <row r="847" spans="1:22" ht="15" customHeight="1" x14ac:dyDescent="0.25">
      <c r="A847" s="142" t="s">
        <v>100</v>
      </c>
      <c r="B847" s="144" t="s">
        <v>129</v>
      </c>
      <c r="C847" s="144"/>
      <c r="D847" s="144"/>
      <c r="E847" s="144"/>
      <c r="F847" s="20" t="s">
        <v>27</v>
      </c>
      <c r="G847" s="20" t="s">
        <v>28</v>
      </c>
      <c r="H847" s="20" t="s">
        <v>29</v>
      </c>
      <c r="I847" s="20" t="s">
        <v>30</v>
      </c>
    </row>
    <row r="848" spans="1:22" ht="15.75" customHeight="1" thickBot="1" x14ac:dyDescent="0.3">
      <c r="A848" s="143"/>
      <c r="B848" s="145"/>
      <c r="C848" s="145"/>
      <c r="D848" s="145"/>
      <c r="E848" s="145"/>
      <c r="F848" s="20">
        <v>91</v>
      </c>
      <c r="G848" s="26">
        <v>91</v>
      </c>
      <c r="H848" s="26">
        <v>91</v>
      </c>
      <c r="I848" s="26">
        <v>91</v>
      </c>
    </row>
    <row r="849" spans="1:34" ht="15.75" customHeight="1" thickBot="1" x14ac:dyDescent="0.3">
      <c r="A849" s="143"/>
      <c r="B849" s="145"/>
      <c r="C849" s="145"/>
      <c r="D849" s="145"/>
      <c r="E849" s="145"/>
      <c r="F849" s="7"/>
      <c r="G849" s="146" t="s">
        <v>27</v>
      </c>
      <c r="H849" s="147"/>
      <c r="I849" s="147"/>
      <c r="J849" s="147"/>
      <c r="K849" s="148"/>
      <c r="L849" s="149" t="s">
        <v>28</v>
      </c>
      <c r="M849" s="150"/>
      <c r="N849" s="150"/>
      <c r="O849" s="150"/>
      <c r="P849" s="151"/>
      <c r="Q849" s="152" t="s">
        <v>29</v>
      </c>
      <c r="R849" s="153"/>
      <c r="S849" s="153"/>
      <c r="T849" s="153"/>
      <c r="U849" s="154"/>
      <c r="V849" s="155" t="s">
        <v>30</v>
      </c>
      <c r="W849" s="156"/>
      <c r="X849" s="156"/>
      <c r="Y849" s="156"/>
      <c r="Z849" s="157"/>
      <c r="AA849" s="158" t="s">
        <v>42</v>
      </c>
      <c r="AB849" s="159"/>
      <c r="AC849" s="160" t="s">
        <v>44</v>
      </c>
      <c r="AD849" s="162" t="s">
        <v>47</v>
      </c>
      <c r="AE849" s="163"/>
      <c r="AF849" s="163"/>
      <c r="AG849" s="164"/>
      <c r="AH849" s="138" t="s">
        <v>62</v>
      </c>
    </row>
    <row r="850" spans="1:34" ht="36.75" x14ac:dyDescent="0.25">
      <c r="A850" s="21" t="s">
        <v>32</v>
      </c>
      <c r="B850" s="22" t="s">
        <v>37</v>
      </c>
      <c r="C850" s="23" t="s">
        <v>33</v>
      </c>
      <c r="D850" s="22" t="s">
        <v>38</v>
      </c>
      <c r="E850" s="22" t="s">
        <v>34</v>
      </c>
      <c r="F850" s="25" t="s">
        <v>35</v>
      </c>
      <c r="G850" s="27" t="s">
        <v>39</v>
      </c>
      <c r="H850" s="10" t="s">
        <v>40</v>
      </c>
      <c r="I850" s="10" t="s">
        <v>45</v>
      </c>
      <c r="J850" s="10" t="s">
        <v>46</v>
      </c>
      <c r="K850" s="28" t="s">
        <v>41</v>
      </c>
      <c r="L850" s="30" t="s">
        <v>39</v>
      </c>
      <c r="M850" s="13" t="s">
        <v>40</v>
      </c>
      <c r="N850" s="13" t="s">
        <v>45</v>
      </c>
      <c r="O850" s="13" t="s">
        <v>46</v>
      </c>
      <c r="P850" s="31" t="s">
        <v>41</v>
      </c>
      <c r="Q850" s="33" t="s">
        <v>39</v>
      </c>
      <c r="R850" s="12" t="s">
        <v>40</v>
      </c>
      <c r="S850" s="12" t="s">
        <v>45</v>
      </c>
      <c r="T850" s="12" t="s">
        <v>46</v>
      </c>
      <c r="U850" s="34" t="s">
        <v>41</v>
      </c>
      <c r="V850" s="36" t="s">
        <v>39</v>
      </c>
      <c r="W850" s="11" t="s">
        <v>40</v>
      </c>
      <c r="X850" s="11" t="s">
        <v>45</v>
      </c>
      <c r="Y850" s="11" t="s">
        <v>46</v>
      </c>
      <c r="Z850" s="37" t="s">
        <v>41</v>
      </c>
      <c r="AA850" s="39" t="s">
        <v>41</v>
      </c>
      <c r="AB850" s="40" t="s">
        <v>43</v>
      </c>
      <c r="AC850" s="161"/>
      <c r="AD850" s="43" t="s">
        <v>27</v>
      </c>
      <c r="AE850" s="1" t="s">
        <v>28</v>
      </c>
      <c r="AF850" s="1" t="s">
        <v>29</v>
      </c>
      <c r="AG850" s="1" t="s">
        <v>30</v>
      </c>
      <c r="AH850" s="139"/>
    </row>
    <row r="851" spans="1:34" x14ac:dyDescent="0.25">
      <c r="A851" s="24">
        <v>4</v>
      </c>
      <c r="B851" s="9">
        <v>8</v>
      </c>
      <c r="C851" s="9">
        <v>500</v>
      </c>
      <c r="D851" s="9">
        <v>3</v>
      </c>
      <c r="E851" s="48">
        <f>B851*C851/60+D851</f>
        <v>69.666666666666671</v>
      </c>
      <c r="F851" s="100">
        <v>140</v>
      </c>
      <c r="G851" s="49">
        <f>B$5*(1-AD851*C$5)</f>
        <v>0</v>
      </c>
      <c r="H851" s="50">
        <f>G851+E851</f>
        <v>69.666666666666671</v>
      </c>
      <c r="I851" s="15">
        <f>(H851/D$5)^E$5</f>
        <v>0.11516869637804684</v>
      </c>
      <c r="J851" s="15">
        <f>(G851/D$5)^E$5</f>
        <v>0</v>
      </c>
      <c r="K851" s="29">
        <f>1-EXP(J851-I851)</f>
        <v>0.10878421365041502</v>
      </c>
      <c r="L851" s="51">
        <f>B$6*(1-AE851*C$6)</f>
        <v>0</v>
      </c>
      <c r="M851" s="52">
        <f>L851+E851</f>
        <v>69.666666666666671</v>
      </c>
      <c r="N851" s="17">
        <f>(M851/D$6)^E$6</f>
        <v>8.7861714115895329E-2</v>
      </c>
      <c r="O851" s="17">
        <f>(L851/D$6)^E$6</f>
        <v>0</v>
      </c>
      <c r="P851" s="32">
        <f>1-EXP(O851-N851)</f>
        <v>8.4112477717763534E-2</v>
      </c>
      <c r="Q851" s="53">
        <f>B$7*(1-AF851*C$7)</f>
        <v>0</v>
      </c>
      <c r="R851" s="54">
        <f>Q851+E851</f>
        <v>69.666666666666671</v>
      </c>
      <c r="S851" s="16">
        <f>(R851/D$7)^E$7</f>
        <v>0.17421448251746105</v>
      </c>
      <c r="T851" s="16">
        <f>(Q851/D$7)^E$7</f>
        <v>0</v>
      </c>
      <c r="U851" s="35">
        <f>1-EXP(T851-S851)</f>
        <v>0.15988331200899064</v>
      </c>
      <c r="V851" s="55">
        <f>B$8*(1-AG851*C$8)</f>
        <v>0</v>
      </c>
      <c r="W851" s="56">
        <f>V851+E851</f>
        <v>69.666666666666671</v>
      </c>
      <c r="X851" s="18">
        <f>(W851/D$8)^E$8</f>
        <v>8.9674731846197935E-3</v>
      </c>
      <c r="Y851" s="18">
        <f>(V851/D$8)^E$8</f>
        <v>0</v>
      </c>
      <c r="Z851" s="38">
        <f>1-EXP(Y851-X851)</f>
        <v>8.9273853154187011E-3</v>
      </c>
      <c r="AA851" s="41">
        <f>K851*P851*U851*Z851</f>
        <v>1.3060317021926209E-5</v>
      </c>
      <c r="AB851" s="42">
        <f>1-AA851</f>
        <v>0.99998693968297803</v>
      </c>
      <c r="AC851" s="47">
        <f>(AD851*F$5+AE851*F$6+AF851*F$7+AG851*F$8)+E851</f>
        <v>69.666666666666671</v>
      </c>
      <c r="AD851" s="43">
        <v>0</v>
      </c>
      <c r="AE851" s="1">
        <v>0</v>
      </c>
      <c r="AF851" s="1">
        <v>0</v>
      </c>
      <c r="AG851" s="1">
        <v>0</v>
      </c>
      <c r="AH851" s="74">
        <v>85</v>
      </c>
    </row>
    <row r="852" spans="1:34" x14ac:dyDescent="0.25">
      <c r="A852" s="76">
        <v>3</v>
      </c>
      <c r="B852" s="58">
        <v>5</v>
      </c>
      <c r="C852" s="9">
        <v>500</v>
      </c>
      <c r="D852" s="58">
        <v>4</v>
      </c>
      <c r="E852" s="48">
        <f t="shared" ref="E852:E854" si="89">B852*C852/60+D852</f>
        <v>45.666666666666664</v>
      </c>
      <c r="F852" s="100">
        <v>95</v>
      </c>
      <c r="G852" s="49">
        <f>H851*(1-AD852*C$5)</f>
        <v>69.666666666666671</v>
      </c>
      <c r="H852" s="50">
        <f>G852+E852</f>
        <v>115.33333333333334</v>
      </c>
      <c r="I852" s="15">
        <f>(H852/D$5)^E$5</f>
        <v>0.27547552976184858</v>
      </c>
      <c r="J852" s="15">
        <f>(G852/D$5)^E$5</f>
        <v>0.11516869637804684</v>
      </c>
      <c r="K852" s="29">
        <f>1-EXP(J852-I852)</f>
        <v>0.14811763708687153</v>
      </c>
      <c r="L852" s="51">
        <f>M851*(1-AE852*C$6)</f>
        <v>69.666666666666671</v>
      </c>
      <c r="M852" s="52">
        <f>L852+E852</f>
        <v>115.33333333333334</v>
      </c>
      <c r="N852" s="17">
        <f>(M852/D$6)^E$6</f>
        <v>0.22666669883015245</v>
      </c>
      <c r="O852" s="17">
        <f>(L852/D$6)^E$6</f>
        <v>8.7861714115895329E-2</v>
      </c>
      <c r="P852" s="32">
        <f>1-EXP(O852-N852)</f>
        <v>0.12960224722523705</v>
      </c>
      <c r="Q852" s="53">
        <f>R851*(1-AF852*C$7)</f>
        <v>69.666666666666671</v>
      </c>
      <c r="R852" s="54">
        <f>Q852+E852</f>
        <v>115.33333333333334</v>
      </c>
      <c r="S852" s="16">
        <f>(R852/D$7)^E$7</f>
        <v>0.59303960801780564</v>
      </c>
      <c r="T852" s="16">
        <f>(Q852/D$7)^E$7</f>
        <v>0.17421448251746105</v>
      </c>
      <c r="U852" s="35">
        <f>1-EXP(T852-S852)</f>
        <v>0.34218077898287225</v>
      </c>
      <c r="V852" s="55">
        <f>W851*(1-AG852*C$8)</f>
        <v>69.666666666666671</v>
      </c>
      <c r="W852" s="56">
        <f>V852+E852</f>
        <v>115.33333333333334</v>
      </c>
      <c r="X852" s="18">
        <f>(W852/D$8)^E$8</f>
        <v>3.2104248826077181E-2</v>
      </c>
      <c r="Y852" s="18">
        <f>(V852/D$8)^E$8</f>
        <v>8.9674731846197935E-3</v>
      </c>
      <c r="Z852" s="38">
        <f>1-EXP(Y852-X852)</f>
        <v>2.2871172789123873E-2</v>
      </c>
      <c r="AA852" s="41">
        <f>K852*P852*U852*Z852</f>
        <v>1.502323126547819E-4</v>
      </c>
      <c r="AB852" s="42">
        <f>1-AA852</f>
        <v>0.99984976768734524</v>
      </c>
      <c r="AC852" s="47">
        <f>AF852*F$7+E852+AC851</f>
        <v>115.33333333333334</v>
      </c>
      <c r="AD852" s="43">
        <v>0</v>
      </c>
      <c r="AE852" s="1">
        <v>0</v>
      </c>
      <c r="AF852" s="1">
        <v>0</v>
      </c>
      <c r="AG852" s="1">
        <v>0</v>
      </c>
      <c r="AH852" s="74">
        <v>67</v>
      </c>
    </row>
    <row r="853" spans="1:34" x14ac:dyDescent="0.25">
      <c r="A853" s="24">
        <v>1</v>
      </c>
      <c r="B853" s="9">
        <v>6</v>
      </c>
      <c r="C853" s="58">
        <v>500</v>
      </c>
      <c r="D853" s="58">
        <v>5</v>
      </c>
      <c r="E853" s="48">
        <f t="shared" si="89"/>
        <v>55</v>
      </c>
      <c r="F853" s="100">
        <v>106</v>
      </c>
      <c r="G853" s="68">
        <f>H852*(1-AD853*C$5)</f>
        <v>80.733333333333334</v>
      </c>
      <c r="H853" s="69">
        <f>G853+E853</f>
        <v>135.73333333333335</v>
      </c>
      <c r="I853" s="70">
        <f>(H853/D$5)^E$5</f>
        <v>0.36513109280337663</v>
      </c>
      <c r="J853" s="70">
        <f>(G853/D$5)^E$5</f>
        <v>0.14862868526677991</v>
      </c>
      <c r="K853" s="29">
        <f>1-EXP(J853-I853)</f>
        <v>0.19466940394254484</v>
      </c>
      <c r="L853" s="51">
        <f>M852*(1-AE853*C$6)</f>
        <v>80.733333333333334</v>
      </c>
      <c r="M853" s="52">
        <f>L853+E853</f>
        <v>135.73333333333335</v>
      </c>
      <c r="N853" s="17">
        <f>(M853/D$6)^E$6</f>
        <v>0.30786708540357188</v>
      </c>
      <c r="O853" s="17">
        <f>(L853/D$6)^E$6</f>
        <v>0.11592364675943075</v>
      </c>
      <c r="P853" s="32">
        <f>1-EXP(O853-N853)</f>
        <v>0.17464644971265575</v>
      </c>
      <c r="Q853" s="53">
        <f>R852*(1-AF853*C$7)</f>
        <v>80.733333333333334</v>
      </c>
      <c r="R853" s="54">
        <f>Q853+E853</f>
        <v>135.73333333333335</v>
      </c>
      <c r="S853" s="16">
        <f>(R853/D$7)^E$7</f>
        <v>0.88097109537085294</v>
      </c>
      <c r="T853" s="16">
        <f>(Q853/D$7)^E$7</f>
        <v>0.24927110408438607</v>
      </c>
      <c r="U853" s="35">
        <f>1-EXP(T853-S853)</f>
        <v>0.46831283126270695</v>
      </c>
      <c r="V853" s="55">
        <f>W852*(1-AG853*C$8)</f>
        <v>80.733333333333334</v>
      </c>
      <c r="W853" s="56">
        <f>V853+E853</f>
        <v>135.73333333333335</v>
      </c>
      <c r="X853" s="18">
        <f>(W853/D$8)^E$8</f>
        <v>4.8474533604058158E-2</v>
      </c>
      <c r="Y853" s="18">
        <f>(V853/D$8)^E$8</f>
        <v>1.3021486169574397E-2</v>
      </c>
      <c r="Z853" s="38">
        <f>1-EXP(Y853-X853)</f>
        <v>3.4831949717745281E-2</v>
      </c>
      <c r="AA853" s="41">
        <f>K853*P853*U853*Z853</f>
        <v>5.5458906544913556E-4</v>
      </c>
      <c r="AB853" s="42">
        <f>1-AA853</f>
        <v>0.99944541093455086</v>
      </c>
      <c r="AC853" s="47">
        <f>(AF853*F$7)+E853+AC852</f>
        <v>178.33333333333334</v>
      </c>
      <c r="AD853" s="77">
        <v>1</v>
      </c>
      <c r="AE853" s="78">
        <v>1</v>
      </c>
      <c r="AF853" s="78">
        <v>1</v>
      </c>
      <c r="AG853" s="78">
        <v>1</v>
      </c>
      <c r="AH853" s="74">
        <v>110</v>
      </c>
    </row>
    <row r="854" spans="1:34" ht="15.75" thickBot="1" x14ac:dyDescent="0.3">
      <c r="A854" s="57">
        <v>2</v>
      </c>
      <c r="B854" s="58">
        <v>9</v>
      </c>
      <c r="C854" s="58">
        <v>500</v>
      </c>
      <c r="D854" s="9">
        <v>2</v>
      </c>
      <c r="E854" s="48">
        <f t="shared" si="89"/>
        <v>77</v>
      </c>
      <c r="F854" s="100">
        <v>76</v>
      </c>
      <c r="G854" s="68">
        <f>H853*(1-AD854*C$5)</f>
        <v>95.013333333333335</v>
      </c>
      <c r="H854" s="69">
        <f>G854+E854</f>
        <v>172.01333333333332</v>
      </c>
      <c r="I854" s="70">
        <f>(H854/D$5)^E$5</f>
        <v>0.55007714400590135</v>
      </c>
      <c r="J854" s="70">
        <f>(G854/D$5)^E$5</f>
        <v>0.19700099794818257</v>
      </c>
      <c r="K854" s="29">
        <f>1-EXP(J854-I854)</f>
        <v>0.2974763030694797</v>
      </c>
      <c r="L854" s="51">
        <f>M853*(1-AE854*C$6)</f>
        <v>95.013333333333335</v>
      </c>
      <c r="M854" s="52">
        <f>L854+E854</f>
        <v>172.01333333333332</v>
      </c>
      <c r="N854" s="17">
        <f>(M854/D$6)^E$6</f>
        <v>0.4805840832144625</v>
      </c>
      <c r="O854" s="17">
        <f>(L854/D$6)^E$6</f>
        <v>0.15745178026315176</v>
      </c>
      <c r="P854" s="32">
        <f>1-EXP(O854-N854)</f>
        <v>0.27612192317372397</v>
      </c>
      <c r="Q854" s="53">
        <f>R853*(1-AF854*C$7)</f>
        <v>95.013333333333335</v>
      </c>
      <c r="R854" s="54">
        <f>Q854+E854</f>
        <v>172.01333333333332</v>
      </c>
      <c r="S854" s="16">
        <f>(R854/D$7)^E$7</f>
        <v>1.5665683956775553</v>
      </c>
      <c r="T854" s="16">
        <f>(Q854/D$7)^E$7</f>
        <v>0.37029674686236147</v>
      </c>
      <c r="U854" s="35">
        <f>1-EXP(T854-S854)</f>
        <v>0.69768073429638378</v>
      </c>
      <c r="V854" s="55">
        <f>W853*(1-AG854*C$8)</f>
        <v>95.013333333333335</v>
      </c>
      <c r="W854" s="56">
        <f>V854+E854</f>
        <v>172.01333333333332</v>
      </c>
      <c r="X854" s="18">
        <f>(W854/D$8)^E$8</f>
        <v>8.8265076148076965E-2</v>
      </c>
      <c r="Y854" s="18">
        <f>(V854/D$8)^E$8</f>
        <v>1.9661275126583947E-2</v>
      </c>
      <c r="Z854" s="38">
        <f>1-EXP(Y854-X854)</f>
        <v>6.6303463581023681E-2</v>
      </c>
      <c r="AA854" s="41">
        <f>K854*P854*U854*Z854</f>
        <v>3.7996729011853083E-3</v>
      </c>
      <c r="AB854" s="42">
        <f>1-AA854</f>
        <v>0.99620032709881468</v>
      </c>
      <c r="AC854" s="47">
        <f>(AF854*F$7)+E854+AC853</f>
        <v>263.33333333333337</v>
      </c>
      <c r="AD854" s="80">
        <v>1</v>
      </c>
      <c r="AE854" s="45">
        <v>1</v>
      </c>
      <c r="AF854" s="81">
        <v>1</v>
      </c>
      <c r="AG854" s="45">
        <v>1</v>
      </c>
      <c r="AH854" s="94">
        <v>40</v>
      </c>
    </row>
    <row r="855" spans="1:34" ht="18.75" x14ac:dyDescent="0.3">
      <c r="A855" s="132" t="s">
        <v>53</v>
      </c>
      <c r="B855" s="132"/>
      <c r="C855" s="132"/>
      <c r="D855" s="132"/>
      <c r="E855" s="132"/>
      <c r="F855" s="132"/>
      <c r="G855" s="132"/>
      <c r="H855" s="132"/>
      <c r="I855" s="132"/>
      <c r="J855" s="132"/>
      <c r="AG855" s="46"/>
    </row>
    <row r="856" spans="1:34" ht="15.75" x14ac:dyDescent="0.25">
      <c r="A856" s="19" t="s">
        <v>82</v>
      </c>
      <c r="B856" s="60" t="s">
        <v>49</v>
      </c>
      <c r="C856" s="61" t="s">
        <v>50</v>
      </c>
      <c r="D856" s="19" t="s">
        <v>48</v>
      </c>
      <c r="E856" s="60" t="s">
        <v>57</v>
      </c>
      <c r="F856" s="61" t="s">
        <v>50</v>
      </c>
      <c r="G856" s="19" t="s">
        <v>54</v>
      </c>
      <c r="H856" s="60" t="s">
        <v>61</v>
      </c>
      <c r="I856" s="61" t="s">
        <v>50</v>
      </c>
      <c r="J856" s="19" t="s">
        <v>58</v>
      </c>
      <c r="K856" s="83" t="s">
        <v>84</v>
      </c>
      <c r="L856" s="61" t="s">
        <v>50</v>
      </c>
      <c r="M856" s="61" t="s">
        <v>85</v>
      </c>
      <c r="O856" s="174" t="s">
        <v>64</v>
      </c>
      <c r="P856" s="174"/>
      <c r="Q856" s="175" t="s">
        <v>109</v>
      </c>
      <c r="R856" s="175"/>
    </row>
    <row r="857" spans="1:34" ht="24.75" x14ac:dyDescent="0.25">
      <c r="A857" s="61" t="s">
        <v>51</v>
      </c>
      <c r="B857" s="1">
        <f>AA851</f>
        <v>1.3060317021926209E-5</v>
      </c>
      <c r="C857" s="59">
        <f>MAX(AC851+1*L844-F851,0)</f>
        <v>0</v>
      </c>
      <c r="D857" s="62" t="s">
        <v>55</v>
      </c>
      <c r="E857" s="1">
        <f>AA851*AA852</f>
        <v>1.9620816302085884E-9</v>
      </c>
      <c r="F857" s="1">
        <f>MAX(AC852+2*L844-F852,0)</f>
        <v>44.333333333333343</v>
      </c>
      <c r="G857" s="62" t="s">
        <v>59</v>
      </c>
      <c r="H857" s="1">
        <f>AA851*AA852*AA853</f>
        <v>1.0881490176322974E-12</v>
      </c>
      <c r="I857" s="1">
        <f>AC853+3*L844-F853</f>
        <v>108.33333333333334</v>
      </c>
      <c r="J857" s="62" t="s">
        <v>83</v>
      </c>
      <c r="K857" s="1">
        <f>AA851*AA852*AA853*AA854</f>
        <v>4.1346103347488546E-15</v>
      </c>
      <c r="L857" s="1">
        <f>AC854+4*L844-F854</f>
        <v>235.33333333333337</v>
      </c>
      <c r="M857" s="1">
        <f>B857*C857*AH851+E857*F857*AH852+H857*I857*AH853+K857*L857*AH854</f>
        <v>5.8410424985216472E-6</v>
      </c>
      <c r="O857" s="1" t="s">
        <v>27</v>
      </c>
      <c r="P857" s="1">
        <f>2*H842</f>
        <v>3640</v>
      </c>
      <c r="Q857" s="1">
        <f>(K851*(1-P851)*(1-U851)*(1-Z851))+(P851*(1-K851)*(1-U851)*(1-Z851))+(U851*(1-K851)*(1-P851)*(1-Z851))+(Z851*(1-K851)*(1-P851)*(1-U851))</f>
        <v>0.28083409477630866</v>
      </c>
      <c r="R857" s="1">
        <f>Q857*(L$7*(J$5*K$5+L$5)+I$5)</f>
        <v>9897.9976703909997</v>
      </c>
    </row>
    <row r="858" spans="1:34" ht="24.75" x14ac:dyDescent="0.25">
      <c r="A858" s="62" t="s">
        <v>52</v>
      </c>
      <c r="B858" s="1">
        <f>AB851</f>
        <v>0.99998693968297803</v>
      </c>
      <c r="C858" s="59">
        <f>MAX(AC851-F851,0)</f>
        <v>0</v>
      </c>
      <c r="D858" s="62" t="s">
        <v>56</v>
      </c>
      <c r="E858" s="1">
        <f>AA851*AB852+AA852*AB851</f>
        <v>1.6328870551344767E-4</v>
      </c>
      <c r="F858" s="1">
        <f>MAX(AC852+1*L844-F852,0)</f>
        <v>32.333333333333343</v>
      </c>
      <c r="G858" s="62" t="s">
        <v>60</v>
      </c>
      <c r="H858" s="1">
        <f>AA851*AA852*AB853+AA852*AA853*AB851+AA851*AA853*AB852</f>
        <v>9.2519124070293024E-8</v>
      </c>
      <c r="I858" s="1">
        <f>AC853+2*L844-F853</f>
        <v>96.333333333333343</v>
      </c>
      <c r="J858" s="62" t="s">
        <v>59</v>
      </c>
      <c r="K858">
        <f>AB851*AA852*AA853*AA854+AB852*AA851*AA853*AA854*+AB853*AA851*AA852*AA854+AB854*AA851*AA852*AA853</f>
        <v>3.1765797876731504E-10</v>
      </c>
      <c r="L858" s="1">
        <f>AC854+3*L844-F854</f>
        <v>223.33333333333337</v>
      </c>
      <c r="M858" s="1">
        <f>B858*C858*AH851+E858*F858*AH852+H858*I858*AH853+K858*L858*AH854</f>
        <v>0.35472099777330734</v>
      </c>
      <c r="O858" s="1" t="s">
        <v>28</v>
      </c>
      <c r="P858" s="1">
        <f>2*H843</f>
        <v>5440</v>
      </c>
      <c r="Q858" s="1">
        <f t="shared" ref="Q858:Q860" si="90">(K852*(1-P852)*(1-U852)*(1-Z852))+(P852*(1-K852)*(1-U852)*(1-Z852))+(U852*(1-K852)*(1-P852)*(1-Z852))+(Z852*(1-K852)*(1-P852)*(1-U852))</f>
        <v>0.41290502350113689</v>
      </c>
      <c r="R858" s="1">
        <f t="shared" ref="R858:R860" si="91">Q858*(L$7*(J$5*K$5+L$5)+I$5)</f>
        <v>14552.83755329757</v>
      </c>
    </row>
    <row r="859" spans="1:34" ht="24.75" x14ac:dyDescent="0.25">
      <c r="A859" s="1"/>
      <c r="B859" s="1"/>
      <c r="C859" s="1"/>
      <c r="D859" s="62" t="s">
        <v>52</v>
      </c>
      <c r="E859" s="1">
        <f>AB851*AB852</f>
        <v>0.99983670933240487</v>
      </c>
      <c r="F859" s="59">
        <f>MAX(AC852-F852,0)</f>
        <v>20.333333333333343</v>
      </c>
      <c r="G859" s="62" t="s">
        <v>56</v>
      </c>
      <c r="H859" s="1">
        <f>AA851*AB852*AB853+AA852*AB851*AB853*+AA853*AB851*AB852</f>
        <v>1.3134369225758253E-5</v>
      </c>
      <c r="I859" s="1">
        <f>AC853+1*L844-F853</f>
        <v>84.333333333333343</v>
      </c>
      <c r="J859" s="62" t="s">
        <v>60</v>
      </c>
      <c r="K859" s="1">
        <f>AA851*AA852*AB853*AB854 + AA851*AA853*AB852*AB854 + AA851*AA854*AB852*AB853 + AA852*AA853*AB851*AB854 + AA852*AA854*AB851*AB853 + AA853*AA854*AB851*AB852</f>
        <v>2.8191801076673891E-6</v>
      </c>
      <c r="L859" s="1">
        <f>AC854+2*L844-F854</f>
        <v>211.33333333333337</v>
      </c>
      <c r="M859" s="1">
        <f>B859*C859*AH851+E859*F859*AH852+H859*I859*AH853+K859*L859*AH854</f>
        <v>1362.256551648208</v>
      </c>
      <c r="O859" s="1" t="s">
        <v>29</v>
      </c>
      <c r="P859" s="1">
        <f>2*(F844*(J842*K842+L842)+H844)</f>
        <v>28200</v>
      </c>
      <c r="Q859" s="1">
        <f t="shared" si="90"/>
        <v>0.46737379995534067</v>
      </c>
      <c r="R859" s="1">
        <f t="shared" si="91"/>
        <v>16472.589579425981</v>
      </c>
    </row>
    <row r="860" spans="1:34" ht="24.75" x14ac:dyDescent="0.25">
      <c r="A860" s="1"/>
      <c r="B860" s="1"/>
      <c r="C860" s="1"/>
      <c r="D860" s="1"/>
      <c r="E860" s="1"/>
      <c r="F860" s="1"/>
      <c r="G860" s="62" t="s">
        <v>52</v>
      </c>
      <c r="H860" s="1">
        <f>AB851*AB852*AB853</f>
        <v>0.99928221082617452</v>
      </c>
      <c r="I860" s="63">
        <f>AC853-F853</f>
        <v>72.333333333333343</v>
      </c>
      <c r="J860" s="62" t="s">
        <v>56</v>
      </c>
      <c r="K860" s="1">
        <f>AA851*AB852*AB853*AB854+AA852*AB851*AB853*AB854+AA853*AB851*AB852*AB854+AA854*AB851*AB852*AB853</f>
        <v>4.5119151782000103E-3</v>
      </c>
      <c r="L860" s="1">
        <f>AC854+1*L844-F854</f>
        <v>199.33333333333337</v>
      </c>
      <c r="M860" s="1">
        <f>B860*C860*AH851+E860*F860*AH852+H860*I860*AH853+K860*L860*AH854</f>
        <v>7986.9304611611105</v>
      </c>
      <c r="O860" s="1" t="s">
        <v>30</v>
      </c>
      <c r="P860" s="1">
        <f>2*H845</f>
        <v>8640</v>
      </c>
      <c r="Q860" s="1">
        <f t="shared" si="90"/>
        <v>0.45700901684888368</v>
      </c>
      <c r="R860" s="1">
        <f t="shared" si="91"/>
        <v>16107.282798838905</v>
      </c>
    </row>
    <row r="861" spans="1:34" ht="30" x14ac:dyDescent="0.25">
      <c r="I861" s="84"/>
      <c r="J861" s="62" t="s">
        <v>52</v>
      </c>
      <c r="K861" s="85">
        <f>AB851*AB852*AB853*AB854</f>
        <v>0.99548526528906178</v>
      </c>
      <c r="L861" s="1">
        <f>AC854+0*L844-F854</f>
        <v>187.33333333333337</v>
      </c>
      <c r="M861" s="1">
        <f>B861*C861*AH851+E861*F861*AH852+H861*I861*AH853+K861*L861*AH854</f>
        <v>7459.5029212327045</v>
      </c>
      <c r="O861" s="64" t="s">
        <v>65</v>
      </c>
      <c r="P861" s="65">
        <f>SUM(P857:P860)</f>
        <v>45920</v>
      </c>
      <c r="Q861" s="96" t="s">
        <v>108</v>
      </c>
      <c r="R861" s="97">
        <f>SUM(R857:R860)</f>
        <v>57030.707601953458</v>
      </c>
    </row>
    <row r="862" spans="1:34" x14ac:dyDescent="0.25">
      <c r="L862" s="176" t="s">
        <v>63</v>
      </c>
      <c r="M862" s="177">
        <f>SUM(M857:M861)</f>
        <v>16809.044660880842</v>
      </c>
    </row>
    <row r="863" spans="1:34" x14ac:dyDescent="0.25">
      <c r="L863" s="176"/>
      <c r="M863" s="177"/>
    </row>
    <row r="864" spans="1:34" x14ac:dyDescent="0.25">
      <c r="A864" s="178" t="s">
        <v>90</v>
      </c>
      <c r="B864" s="178"/>
      <c r="C864" s="178"/>
      <c r="D864" s="178"/>
      <c r="E864" s="178"/>
      <c r="F864" s="178"/>
      <c r="G864" s="178"/>
      <c r="H864" s="178"/>
      <c r="I864" s="178"/>
      <c r="J864" s="178"/>
      <c r="K864" s="178"/>
      <c r="L864" s="178"/>
      <c r="M864" s="178"/>
      <c r="N864" s="178"/>
    </row>
    <row r="865" spans="1:22" ht="15.75" x14ac:dyDescent="0.25">
      <c r="A865" s="87" t="s">
        <v>86</v>
      </c>
      <c r="B865" s="62" t="s">
        <v>49</v>
      </c>
      <c r="C865" s="90" t="s">
        <v>103</v>
      </c>
      <c r="D865" s="62" t="s">
        <v>88</v>
      </c>
      <c r="E865" s="87" t="s">
        <v>75</v>
      </c>
      <c r="F865" s="62" t="s">
        <v>57</v>
      </c>
      <c r="G865" s="90" t="s">
        <v>87</v>
      </c>
      <c r="H865" s="62" t="s">
        <v>88</v>
      </c>
      <c r="I865" s="87" t="s">
        <v>76</v>
      </c>
      <c r="J865" s="62" t="s">
        <v>61</v>
      </c>
      <c r="K865" s="90" t="s">
        <v>102</v>
      </c>
      <c r="L865" s="62" t="s">
        <v>88</v>
      </c>
      <c r="M865" s="87" t="s">
        <v>77</v>
      </c>
      <c r="N865" s="62" t="s">
        <v>84</v>
      </c>
      <c r="O865" s="90" t="s">
        <v>78</v>
      </c>
      <c r="P865" s="62" t="s">
        <v>88</v>
      </c>
    </row>
    <row r="866" spans="1:22" ht="24.75" x14ac:dyDescent="0.25">
      <c r="A866" s="62" t="s">
        <v>51</v>
      </c>
      <c r="B866" s="86">
        <v>1.3060317021926209E-5</v>
      </c>
      <c r="C866" s="86">
        <f>AC851+1*L844</f>
        <v>81.666666666666671</v>
      </c>
      <c r="D866" s="86">
        <f>MAX(B866*1.5*((C866-F851)*500/2),0)</f>
        <v>0</v>
      </c>
      <c r="E866" s="62" t="s">
        <v>55</v>
      </c>
      <c r="F866" s="86">
        <v>1.4503313202120812E-9</v>
      </c>
      <c r="G866" s="86">
        <f>AC852+2*L844</f>
        <v>139.33333333333334</v>
      </c>
      <c r="H866" s="86">
        <f>F866*1.5*((G866-F852)*500/2+(G866-F853)*500+(G866-F854)*500)</f>
        <v>1.2926077891390177E-4</v>
      </c>
      <c r="I866" s="62" t="s">
        <v>59</v>
      </c>
      <c r="J866" s="86">
        <v>1.0422777051106035E-12</v>
      </c>
      <c r="K866" s="86">
        <f>AC853+3*L844</f>
        <v>214.33333333333334</v>
      </c>
      <c r="L866" s="86">
        <f>J866*1.5*((K866-G866)*500/2+(K866-G866)*500)</f>
        <v>8.7942181368707171E-8</v>
      </c>
      <c r="M866" s="62" t="s">
        <v>83</v>
      </c>
      <c r="N866" s="86">
        <v>4.7484042107496116E-15</v>
      </c>
      <c r="O866" s="86">
        <f>AC854+4*L844</f>
        <v>311.33333333333337</v>
      </c>
      <c r="P866" s="86">
        <f>N866*1.5*((O866-K866)*500/2)</f>
        <v>1.7272320316601718E-10</v>
      </c>
    </row>
    <row r="867" spans="1:22" ht="24.75" x14ac:dyDescent="0.25">
      <c r="A867" s="62" t="s">
        <v>52</v>
      </c>
      <c r="B867" s="86">
        <v>0.99998693968297803</v>
      </c>
      <c r="C867" s="88">
        <f>AC851</f>
        <v>69.666666666666671</v>
      </c>
      <c r="D867" s="86">
        <f>MAX(B867*1.5*((C867-F851)*500/2),0)</f>
        <v>0</v>
      </c>
      <c r="E867" s="62" t="s">
        <v>56</v>
      </c>
      <c r="F867" s="86">
        <v>1.2410612350607279E-4</v>
      </c>
      <c r="G867" s="86">
        <f>AC852+1*L844</f>
        <v>127.33333333333334</v>
      </c>
      <c r="H867" s="86">
        <f>F867*1.5*((G867-F852)*500/2+(G867-F853)*500+(G867-F854)*500)</f>
        <v>8.2685704785921015</v>
      </c>
      <c r="I867" s="62" t="s">
        <v>60</v>
      </c>
      <c r="J867" s="86">
        <v>9.0637906702068682E-8</v>
      </c>
      <c r="K867" s="86">
        <f>AC853+2*L844</f>
        <v>202.33333333333334</v>
      </c>
      <c r="L867" s="86">
        <f>J867*1.5*((K867-G867)*500/2+(K867-G867)*500)</f>
        <v>7.6475733779870457E-3</v>
      </c>
      <c r="M867" s="62" t="s">
        <v>59</v>
      </c>
      <c r="N867" s="86">
        <v>3.6460773874660016E-10</v>
      </c>
      <c r="O867" s="86">
        <f>AC854+3*L844</f>
        <v>299.33333333333337</v>
      </c>
      <c r="P867" s="86">
        <f>N867*1.5*((O867-K867)*500/2)</f>
        <v>1.3262606496907585E-5</v>
      </c>
    </row>
    <row r="868" spans="1:22" x14ac:dyDescent="0.25">
      <c r="A868" s="86"/>
      <c r="B868" s="86"/>
      <c r="C868" s="89" t="s">
        <v>89</v>
      </c>
      <c r="D868" s="89">
        <f>SUM(D866:D867)</f>
        <v>0</v>
      </c>
      <c r="E868" s="62" t="s">
        <v>52</v>
      </c>
      <c r="F868" s="86">
        <v>0.99987589242616259</v>
      </c>
      <c r="G868" s="86">
        <f>AC852+0*L844</f>
        <v>115.33333333333334</v>
      </c>
      <c r="H868" s="86">
        <f>F868*1.5*((G868-F852)*500/2+(G868-F853)*500+(G868-F854)*500)</f>
        <v>44119.523753304442</v>
      </c>
      <c r="I868" s="62" t="s">
        <v>56</v>
      </c>
      <c r="J868" s="86">
        <v>1.3129218603306646E-5</v>
      </c>
      <c r="K868" s="86">
        <f>AC853+1*L844</f>
        <v>190.33333333333334</v>
      </c>
      <c r="L868" s="86">
        <f>J868*1.5*((K868-G868)*500/2+(K868-G868)*500)</f>
        <v>1.1077778196539982</v>
      </c>
      <c r="M868" s="62" t="s">
        <v>60</v>
      </c>
      <c r="N868" s="86">
        <v>3.9288278820602551E-6</v>
      </c>
      <c r="O868" s="86">
        <f>AC854+2*L844</f>
        <v>287.33333333333337</v>
      </c>
      <c r="P868" s="86">
        <f>N868*1.5*((O868-K868)*500/2)</f>
        <v>0.14291111420994182</v>
      </c>
    </row>
    <row r="869" spans="1:22" x14ac:dyDescent="0.25">
      <c r="A869" s="86"/>
      <c r="B869" s="86"/>
      <c r="C869" s="86"/>
      <c r="D869" s="86"/>
      <c r="E869" s="86"/>
      <c r="F869" s="86"/>
      <c r="G869" s="89" t="s">
        <v>79</v>
      </c>
      <c r="H869" s="89">
        <f>SUM(H866:H868)</f>
        <v>44127.79245304381</v>
      </c>
      <c r="I869" s="62" t="s">
        <v>52</v>
      </c>
      <c r="J869" s="86">
        <v>0.99915733361409687</v>
      </c>
      <c r="K869" s="86">
        <f>AC853+0*L844</f>
        <v>178.33333333333334</v>
      </c>
      <c r="L869" s="86">
        <f>J869*1.5*((K869-G868)*500/2+(K869-G868)*500)</f>
        <v>70815.276019899116</v>
      </c>
      <c r="M869" s="62" t="s">
        <v>56</v>
      </c>
      <c r="N869" s="86">
        <v>5.3906937549151896E-3</v>
      </c>
      <c r="O869" s="86">
        <f>AC854+1*L844</f>
        <v>275.33333333333337</v>
      </c>
      <c r="P869" s="86">
        <f>N869*1.5*((O869-K869)*500/2)</f>
        <v>196.08648533504009</v>
      </c>
    </row>
    <row r="870" spans="1:22" x14ac:dyDescent="0.25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9" t="s">
        <v>79</v>
      </c>
      <c r="L870" s="89">
        <f>SUM(L866:L869)</f>
        <v>70816.391445380097</v>
      </c>
      <c r="M870" s="62" t="s">
        <v>52</v>
      </c>
      <c r="N870" s="86">
        <v>0.9946053770032327</v>
      </c>
      <c r="O870" s="86">
        <f>AC854+0*L844</f>
        <v>263.33333333333337</v>
      </c>
      <c r="P870" s="86">
        <f>N870*1.5*((O870-K869)*500/2)</f>
        <v>31703.046391978056</v>
      </c>
      <c r="Q870" s="179" t="s">
        <v>80</v>
      </c>
      <c r="R870" s="179"/>
      <c r="S870" s="180">
        <f>D868+H869+L870+P871</f>
        <v>146843.45970011401</v>
      </c>
      <c r="T870" s="180"/>
    </row>
    <row r="871" spans="1:22" x14ac:dyDescent="0.25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9" t="s">
        <v>79</v>
      </c>
      <c r="P871" s="89">
        <f>SUM(P866:P870)</f>
        <v>31899.275801690084</v>
      </c>
      <c r="Q871" s="179"/>
      <c r="R871" s="179"/>
      <c r="S871" s="180"/>
      <c r="T871" s="180"/>
    </row>
    <row r="872" spans="1:22" x14ac:dyDescent="0.25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</row>
    <row r="873" spans="1:22" x14ac:dyDescent="0.25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</row>
    <row r="874" spans="1:22" x14ac:dyDescent="0.25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</row>
    <row r="875" spans="1:22" ht="24.75" thickBot="1" x14ac:dyDescent="0.3">
      <c r="O875" s="131" t="s">
        <v>81</v>
      </c>
      <c r="P875" s="131"/>
      <c r="Q875" s="131">
        <f>(R861+P861+M862+S870)/AC854</f>
        <v>1012.4172606187909</v>
      </c>
      <c r="R875" s="131"/>
    </row>
    <row r="876" spans="1:22" x14ac:dyDescent="0.25">
      <c r="A876" s="181" t="s">
        <v>128</v>
      </c>
      <c r="B876" s="182"/>
    </row>
    <row r="877" spans="1:22" ht="15.75" thickBot="1" x14ac:dyDescent="0.3">
      <c r="A877" s="183"/>
      <c r="B877" s="184"/>
    </row>
    <row r="878" spans="1:22" ht="21" x14ac:dyDescent="0.35">
      <c r="A878" s="185" t="s">
        <v>14</v>
      </c>
      <c r="B878" s="185"/>
      <c r="C878" s="165"/>
      <c r="D878" s="165"/>
      <c r="E878" s="165"/>
      <c r="F878" s="165"/>
      <c r="G878" s="165"/>
      <c r="H878" s="165"/>
      <c r="I878" s="165"/>
      <c r="J878" s="165"/>
      <c r="K878" s="165"/>
      <c r="L878" s="165"/>
      <c r="M878" s="165"/>
      <c r="O878" s="166" t="s">
        <v>72</v>
      </c>
      <c r="P878" s="166"/>
      <c r="Q878" s="166"/>
      <c r="R878" s="166"/>
      <c r="S878" s="166"/>
      <c r="T878" s="166"/>
      <c r="U878" s="166"/>
      <c r="V878" s="166"/>
    </row>
    <row r="879" spans="1:22" ht="36" x14ac:dyDescent="0.25">
      <c r="A879" s="4" t="s">
        <v>15</v>
      </c>
      <c r="B879" s="4" t="s">
        <v>16</v>
      </c>
      <c r="C879" s="4" t="s">
        <v>31</v>
      </c>
      <c r="D879" s="6" t="s">
        <v>17</v>
      </c>
      <c r="E879" s="6" t="s">
        <v>18</v>
      </c>
      <c r="F879" s="6" t="s">
        <v>19</v>
      </c>
      <c r="G879" s="6" t="s">
        <v>20</v>
      </c>
      <c r="H879" s="6" t="s">
        <v>21</v>
      </c>
      <c r="I879" s="6" t="s">
        <v>22</v>
      </c>
      <c r="J879" s="6" t="s">
        <v>23</v>
      </c>
      <c r="K879" s="6" t="s">
        <v>24</v>
      </c>
      <c r="L879" s="6" t="s">
        <v>25</v>
      </c>
      <c r="M879" s="6" t="s">
        <v>26</v>
      </c>
      <c r="N879" s="8"/>
      <c r="O879" s="167" t="s">
        <v>32</v>
      </c>
      <c r="P879" s="167" t="s">
        <v>35</v>
      </c>
      <c r="Q879" s="167" t="s">
        <v>66</v>
      </c>
      <c r="R879" s="99" t="s">
        <v>67</v>
      </c>
      <c r="S879" s="99" t="s">
        <v>68</v>
      </c>
      <c r="T879" s="167" t="s">
        <v>69</v>
      </c>
      <c r="U879" s="71" t="s">
        <v>33</v>
      </c>
      <c r="V879" s="99" t="s">
        <v>70</v>
      </c>
    </row>
    <row r="880" spans="1:22" x14ac:dyDescent="0.25">
      <c r="A880" s="3" t="s">
        <v>27</v>
      </c>
      <c r="B880" s="3">
        <v>0</v>
      </c>
      <c r="C880" s="3">
        <v>0.3</v>
      </c>
      <c r="D880" s="3">
        <v>243</v>
      </c>
      <c r="E880" s="3">
        <v>1.73</v>
      </c>
      <c r="F880" s="3">
        <v>5</v>
      </c>
      <c r="G880" s="169">
        <v>12</v>
      </c>
      <c r="H880" s="3">
        <v>1820</v>
      </c>
      <c r="I880" s="169">
        <v>19645</v>
      </c>
      <c r="J880" s="3">
        <v>20</v>
      </c>
      <c r="K880" s="3">
        <v>40</v>
      </c>
      <c r="L880" s="3">
        <v>500</v>
      </c>
      <c r="M880" s="3">
        <v>1000</v>
      </c>
      <c r="O880" s="168"/>
      <c r="P880" s="168"/>
      <c r="Q880" s="168"/>
      <c r="R880" s="72" t="s">
        <v>71</v>
      </c>
      <c r="S880" s="72" t="s">
        <v>71</v>
      </c>
      <c r="T880" s="168"/>
      <c r="U880" s="73">
        <v>500</v>
      </c>
      <c r="V880" s="3">
        <v>1.5</v>
      </c>
    </row>
    <row r="881" spans="1:34" x14ac:dyDescent="0.25">
      <c r="A881" s="3" t="s">
        <v>28</v>
      </c>
      <c r="B881" s="3">
        <v>0</v>
      </c>
      <c r="C881" s="3">
        <v>0.3</v>
      </c>
      <c r="D881" s="3">
        <v>254</v>
      </c>
      <c r="E881" s="3">
        <v>1.88</v>
      </c>
      <c r="F881" s="3">
        <v>3</v>
      </c>
      <c r="G881" s="170"/>
      <c r="H881" s="3">
        <v>2720</v>
      </c>
      <c r="I881" s="170"/>
      <c r="J881" s="5"/>
      <c r="K881" s="5"/>
      <c r="L881" s="5"/>
      <c r="M881" s="5"/>
      <c r="O881" s="74">
        <v>1</v>
      </c>
      <c r="P881" s="74">
        <v>106</v>
      </c>
      <c r="Q881" s="74">
        <v>110</v>
      </c>
      <c r="R881" s="74">
        <v>6</v>
      </c>
      <c r="S881" s="74">
        <v>5</v>
      </c>
      <c r="T881" s="74">
        <f>R881*$U$5/60+S881</f>
        <v>55</v>
      </c>
      <c r="U881" s="75"/>
    </row>
    <row r="882" spans="1:34" x14ac:dyDescent="0.25">
      <c r="A882" s="3" t="s">
        <v>29</v>
      </c>
      <c r="B882" s="3">
        <v>0</v>
      </c>
      <c r="C882" s="3">
        <v>0.3</v>
      </c>
      <c r="D882" s="3">
        <v>143</v>
      </c>
      <c r="E882" s="3">
        <v>2.4300000000000002</v>
      </c>
      <c r="F882" s="3">
        <v>8</v>
      </c>
      <c r="G882" s="170"/>
      <c r="H882" s="3">
        <v>3700</v>
      </c>
      <c r="I882" s="170"/>
      <c r="J882" s="5"/>
      <c r="K882" s="140" t="s">
        <v>73</v>
      </c>
      <c r="L882" s="141">
        <v>12</v>
      </c>
      <c r="M882" s="140" t="s">
        <v>74</v>
      </c>
      <c r="N882" s="141">
        <v>19645</v>
      </c>
      <c r="O882" s="74">
        <v>2</v>
      </c>
      <c r="P882" s="74">
        <v>76</v>
      </c>
      <c r="Q882" s="74">
        <v>40</v>
      </c>
      <c r="R882" s="74">
        <v>9</v>
      </c>
      <c r="S882" s="74">
        <v>2</v>
      </c>
      <c r="T882" s="74">
        <f t="shared" ref="T882:T884" si="92">R882*$U$5/60+S882</f>
        <v>77</v>
      </c>
      <c r="U882" s="75"/>
    </row>
    <row r="883" spans="1:34" x14ac:dyDescent="0.25">
      <c r="A883" s="3" t="s">
        <v>30</v>
      </c>
      <c r="B883" s="3">
        <v>0</v>
      </c>
      <c r="C883" s="3">
        <v>0.3</v>
      </c>
      <c r="D883" s="3">
        <v>449</v>
      </c>
      <c r="E883" s="3">
        <v>2.5299999999999998</v>
      </c>
      <c r="F883" s="3">
        <v>4</v>
      </c>
      <c r="G883" s="171"/>
      <c r="H883" s="3">
        <v>4320</v>
      </c>
      <c r="I883" s="171"/>
      <c r="J883" s="5"/>
      <c r="K883" s="140"/>
      <c r="L883" s="141"/>
      <c r="M883" s="140"/>
      <c r="N883" s="141"/>
      <c r="O883" s="74">
        <v>3</v>
      </c>
      <c r="P883" s="74">
        <v>95</v>
      </c>
      <c r="Q883" s="74">
        <v>67</v>
      </c>
      <c r="R883" s="74">
        <v>5</v>
      </c>
      <c r="S883" s="74">
        <v>4</v>
      </c>
      <c r="T883" s="74">
        <f t="shared" si="92"/>
        <v>45.666666666666664</v>
      </c>
      <c r="U883" s="75"/>
    </row>
    <row r="884" spans="1:34" ht="15.75" thickBo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O884" s="74">
        <v>4</v>
      </c>
      <c r="P884" s="74">
        <v>140</v>
      </c>
      <c r="Q884" s="94">
        <v>85</v>
      </c>
      <c r="R884" s="94">
        <v>8</v>
      </c>
      <c r="S884" s="94">
        <v>3</v>
      </c>
      <c r="T884" s="74">
        <f t="shared" si="92"/>
        <v>69.666666666666671</v>
      </c>
    </row>
    <row r="885" spans="1:34" ht="15" customHeight="1" x14ac:dyDescent="0.25">
      <c r="A885" s="142" t="s">
        <v>100</v>
      </c>
      <c r="B885" s="144" t="s">
        <v>129</v>
      </c>
      <c r="C885" s="144"/>
      <c r="D885" s="144"/>
      <c r="E885" s="144"/>
      <c r="F885" s="20" t="s">
        <v>27</v>
      </c>
      <c r="G885" s="20" t="s">
        <v>28</v>
      </c>
      <c r="H885" s="20" t="s">
        <v>29</v>
      </c>
      <c r="I885" s="20" t="s">
        <v>30</v>
      </c>
    </row>
    <row r="886" spans="1:34" ht="15.75" customHeight="1" thickBot="1" x14ac:dyDescent="0.3">
      <c r="A886" s="143"/>
      <c r="B886" s="145"/>
      <c r="C886" s="145"/>
      <c r="D886" s="145"/>
      <c r="E886" s="145"/>
      <c r="F886" s="20">
        <v>91</v>
      </c>
      <c r="G886" s="26">
        <v>91</v>
      </c>
      <c r="H886" s="26">
        <v>91</v>
      </c>
      <c r="I886" s="26">
        <v>91</v>
      </c>
    </row>
    <row r="887" spans="1:34" ht="15.75" customHeight="1" thickBot="1" x14ac:dyDescent="0.3">
      <c r="A887" s="143"/>
      <c r="B887" s="145"/>
      <c r="C887" s="145"/>
      <c r="D887" s="145"/>
      <c r="E887" s="145"/>
      <c r="F887" s="7"/>
      <c r="G887" s="146" t="s">
        <v>27</v>
      </c>
      <c r="H887" s="147"/>
      <c r="I887" s="147"/>
      <c r="J887" s="147"/>
      <c r="K887" s="148"/>
      <c r="L887" s="149" t="s">
        <v>28</v>
      </c>
      <c r="M887" s="150"/>
      <c r="N887" s="150"/>
      <c r="O887" s="150"/>
      <c r="P887" s="151"/>
      <c r="Q887" s="152" t="s">
        <v>29</v>
      </c>
      <c r="R887" s="153"/>
      <c r="S887" s="153"/>
      <c r="T887" s="153"/>
      <c r="U887" s="154"/>
      <c r="V887" s="155" t="s">
        <v>30</v>
      </c>
      <c r="W887" s="156"/>
      <c r="X887" s="156"/>
      <c r="Y887" s="156"/>
      <c r="Z887" s="157"/>
      <c r="AA887" s="158" t="s">
        <v>42</v>
      </c>
      <c r="AB887" s="159"/>
      <c r="AC887" s="160" t="s">
        <v>44</v>
      </c>
      <c r="AD887" s="162" t="s">
        <v>47</v>
      </c>
      <c r="AE887" s="163"/>
      <c r="AF887" s="163"/>
      <c r="AG887" s="164"/>
      <c r="AH887" s="138" t="s">
        <v>62</v>
      </c>
    </row>
    <row r="888" spans="1:34" ht="36.75" x14ac:dyDescent="0.25">
      <c r="A888" s="21" t="s">
        <v>32</v>
      </c>
      <c r="B888" s="22" t="s">
        <v>37</v>
      </c>
      <c r="C888" s="23" t="s">
        <v>33</v>
      </c>
      <c r="D888" s="22" t="s">
        <v>38</v>
      </c>
      <c r="E888" s="22" t="s">
        <v>34</v>
      </c>
      <c r="F888" s="25" t="s">
        <v>35</v>
      </c>
      <c r="G888" s="27" t="s">
        <v>39</v>
      </c>
      <c r="H888" s="10" t="s">
        <v>40</v>
      </c>
      <c r="I888" s="10" t="s">
        <v>45</v>
      </c>
      <c r="J888" s="10" t="s">
        <v>46</v>
      </c>
      <c r="K888" s="28" t="s">
        <v>41</v>
      </c>
      <c r="L888" s="30" t="s">
        <v>39</v>
      </c>
      <c r="M888" s="13" t="s">
        <v>40</v>
      </c>
      <c r="N888" s="13" t="s">
        <v>45</v>
      </c>
      <c r="O888" s="13" t="s">
        <v>46</v>
      </c>
      <c r="P888" s="31" t="s">
        <v>41</v>
      </c>
      <c r="Q888" s="33" t="s">
        <v>39</v>
      </c>
      <c r="R888" s="12" t="s">
        <v>40</v>
      </c>
      <c r="S888" s="12" t="s">
        <v>45</v>
      </c>
      <c r="T888" s="12" t="s">
        <v>46</v>
      </c>
      <c r="U888" s="34" t="s">
        <v>41</v>
      </c>
      <c r="V888" s="36" t="s">
        <v>39</v>
      </c>
      <c r="W888" s="11" t="s">
        <v>40</v>
      </c>
      <c r="X888" s="11" t="s">
        <v>45</v>
      </c>
      <c r="Y888" s="11" t="s">
        <v>46</v>
      </c>
      <c r="Z888" s="37" t="s">
        <v>41</v>
      </c>
      <c r="AA888" s="39" t="s">
        <v>41</v>
      </c>
      <c r="AB888" s="40" t="s">
        <v>43</v>
      </c>
      <c r="AC888" s="161"/>
      <c r="AD888" s="43" t="s">
        <v>27</v>
      </c>
      <c r="AE888" s="1" t="s">
        <v>28</v>
      </c>
      <c r="AF888" s="1" t="s">
        <v>29</v>
      </c>
      <c r="AG888" s="1" t="s">
        <v>30</v>
      </c>
      <c r="AH888" s="139"/>
    </row>
    <row r="889" spans="1:34" x14ac:dyDescent="0.25">
      <c r="A889" s="24">
        <v>4</v>
      </c>
      <c r="B889" s="9">
        <v>8</v>
      </c>
      <c r="C889" s="9">
        <v>500</v>
      </c>
      <c r="D889" s="9">
        <v>3</v>
      </c>
      <c r="E889" s="48">
        <f>B889*C889/60+D889</f>
        <v>69.666666666666671</v>
      </c>
      <c r="F889" s="100">
        <v>140</v>
      </c>
      <c r="G889" s="49">
        <f>B$5*(1-AD889*C$5)</f>
        <v>0</v>
      </c>
      <c r="H889" s="50">
        <f>G889+E889</f>
        <v>69.666666666666671</v>
      </c>
      <c r="I889" s="15">
        <f>(H889/D$5)^E$5</f>
        <v>0.11516869637804684</v>
      </c>
      <c r="J889" s="15">
        <f>(G889/D$5)^E$5</f>
        <v>0</v>
      </c>
      <c r="K889" s="29">
        <f>1-EXP(J889-I889)</f>
        <v>0.10878421365041502</v>
      </c>
      <c r="L889" s="51">
        <f>B$6*(1-AE889*C$6)</f>
        <v>0</v>
      </c>
      <c r="M889" s="52">
        <f>L889+E889</f>
        <v>69.666666666666671</v>
      </c>
      <c r="N889" s="17">
        <f>(M889/D$6)^E$6</f>
        <v>8.7861714115895329E-2</v>
      </c>
      <c r="O889" s="17">
        <f>(L889/D$6)^E$6</f>
        <v>0</v>
      </c>
      <c r="P889" s="32">
        <f>1-EXP(O889-N889)</f>
        <v>8.4112477717763534E-2</v>
      </c>
      <c r="Q889" s="53">
        <f>B$7*(1-AF889*C$7)</f>
        <v>0</v>
      </c>
      <c r="R889" s="54">
        <f>Q889+E889</f>
        <v>69.666666666666671</v>
      </c>
      <c r="S889" s="16">
        <f>(R889/D$7)^E$7</f>
        <v>0.17421448251746105</v>
      </c>
      <c r="T889" s="16">
        <f>(Q889/D$7)^E$7</f>
        <v>0</v>
      </c>
      <c r="U889" s="35">
        <f>1-EXP(T889-S889)</f>
        <v>0.15988331200899064</v>
      </c>
      <c r="V889" s="55">
        <f>B$8*(1-AG889*C$8)</f>
        <v>0</v>
      </c>
      <c r="W889" s="56">
        <f>V889+E889</f>
        <v>69.666666666666671</v>
      </c>
      <c r="X889" s="18">
        <f>(W889/D$8)^E$8</f>
        <v>8.9674731846197935E-3</v>
      </c>
      <c r="Y889" s="18">
        <f>(V889/D$8)^E$8</f>
        <v>0</v>
      </c>
      <c r="Z889" s="38">
        <f>1-EXP(Y889-X889)</f>
        <v>8.9273853154187011E-3</v>
      </c>
      <c r="AA889" s="41">
        <f>K889*P889*U889*Z889</f>
        <v>1.3060317021926209E-5</v>
      </c>
      <c r="AB889" s="42">
        <f>1-AA889</f>
        <v>0.99998693968297803</v>
      </c>
      <c r="AC889" s="47">
        <f>(AD889*F$5+AE889*F$6+AF889*F$7+AG889*F$8)+E889</f>
        <v>69.666666666666671</v>
      </c>
      <c r="AD889" s="43">
        <v>0</v>
      </c>
      <c r="AE889" s="1">
        <v>0</v>
      </c>
      <c r="AF889" s="1">
        <v>0</v>
      </c>
      <c r="AG889" s="1">
        <v>0</v>
      </c>
      <c r="AH889" s="74">
        <v>85</v>
      </c>
    </row>
    <row r="890" spans="1:34" x14ac:dyDescent="0.25">
      <c r="A890" s="76">
        <v>3</v>
      </c>
      <c r="B890" s="58">
        <v>5</v>
      </c>
      <c r="C890" s="9">
        <v>500</v>
      </c>
      <c r="D890" s="58">
        <v>4</v>
      </c>
      <c r="E890" s="48">
        <f t="shared" ref="E890:E892" si="93">B890*C890/60+D890</f>
        <v>45.666666666666664</v>
      </c>
      <c r="F890" s="100">
        <v>95</v>
      </c>
      <c r="G890" s="49">
        <f>H889*(1-AD890*C$5)</f>
        <v>69.666666666666671</v>
      </c>
      <c r="H890" s="50">
        <f>G890+E890</f>
        <v>115.33333333333334</v>
      </c>
      <c r="I890" s="15">
        <f>(H890/D$5)^E$5</f>
        <v>0.27547552976184858</v>
      </c>
      <c r="J890" s="15">
        <f>(G890/D$5)^E$5</f>
        <v>0.11516869637804684</v>
      </c>
      <c r="K890" s="29">
        <f>1-EXP(J890-I890)</f>
        <v>0.14811763708687153</v>
      </c>
      <c r="L890" s="51">
        <f>M889*(1-AE890*C$6)</f>
        <v>69.666666666666671</v>
      </c>
      <c r="M890" s="52">
        <f>L890+E890</f>
        <v>115.33333333333334</v>
      </c>
      <c r="N890" s="17">
        <f>(M890/D$6)^E$6</f>
        <v>0.22666669883015245</v>
      </c>
      <c r="O890" s="17">
        <f>(L890/D$6)^E$6</f>
        <v>8.7861714115895329E-2</v>
      </c>
      <c r="P890" s="32">
        <f>1-EXP(O890-N890)</f>
        <v>0.12960224722523705</v>
      </c>
      <c r="Q890" s="53">
        <f>R889*(1-AF890*C$7)</f>
        <v>69.666666666666671</v>
      </c>
      <c r="R890" s="54">
        <f>Q890+E890</f>
        <v>115.33333333333334</v>
      </c>
      <c r="S890" s="16">
        <f>(R890/D$7)^E$7</f>
        <v>0.59303960801780564</v>
      </c>
      <c r="T890" s="16">
        <f>(Q890/D$7)^E$7</f>
        <v>0.17421448251746105</v>
      </c>
      <c r="U890" s="35">
        <f>1-EXP(T890-S890)</f>
        <v>0.34218077898287225</v>
      </c>
      <c r="V890" s="55">
        <f>W889*(1-AG890*C$8)</f>
        <v>69.666666666666671</v>
      </c>
      <c r="W890" s="56">
        <f>V890+E890</f>
        <v>115.33333333333334</v>
      </c>
      <c r="X890" s="18">
        <f>(W890/D$8)^E$8</f>
        <v>3.2104248826077181E-2</v>
      </c>
      <c r="Y890" s="18">
        <f>(V890/D$8)^E$8</f>
        <v>8.9674731846197935E-3</v>
      </c>
      <c r="Z890" s="38">
        <f>1-EXP(Y890-X890)</f>
        <v>2.2871172789123873E-2</v>
      </c>
      <c r="AA890" s="41">
        <f>K890*P890*U890*Z890</f>
        <v>1.502323126547819E-4</v>
      </c>
      <c r="AB890" s="42">
        <f>1-AA890</f>
        <v>0.99984976768734524</v>
      </c>
      <c r="AC890" s="47">
        <f>AF890*F$7+E890+AC889</f>
        <v>115.33333333333334</v>
      </c>
      <c r="AD890" s="43">
        <v>0</v>
      </c>
      <c r="AE890" s="1">
        <v>0</v>
      </c>
      <c r="AF890" s="1">
        <v>0</v>
      </c>
      <c r="AG890" s="1">
        <v>0</v>
      </c>
      <c r="AH890" s="74">
        <v>67</v>
      </c>
    </row>
    <row r="891" spans="1:34" x14ac:dyDescent="0.25">
      <c r="A891" s="24">
        <v>2</v>
      </c>
      <c r="B891" s="9">
        <v>9</v>
      </c>
      <c r="C891" s="58">
        <v>500</v>
      </c>
      <c r="D891" s="58">
        <v>2</v>
      </c>
      <c r="E891" s="48">
        <f t="shared" si="93"/>
        <v>77</v>
      </c>
      <c r="F891" s="100">
        <v>76</v>
      </c>
      <c r="G891" s="68">
        <f>H890*(1-AD891*C$5)</f>
        <v>80.733333333333334</v>
      </c>
      <c r="H891" s="69">
        <f>G891+E891</f>
        <v>157.73333333333335</v>
      </c>
      <c r="I891" s="70">
        <f>(H891/D$5)^E$5</f>
        <v>0.473487773687709</v>
      </c>
      <c r="J891" s="70">
        <f>(G891/D$5)^E$5</f>
        <v>0.14862868526677991</v>
      </c>
      <c r="K891" s="29">
        <f>1-EXP(J891-I891)</f>
        <v>0.27737082671398927</v>
      </c>
      <c r="L891" s="51">
        <f>M890*(1-AE891*C$6)</f>
        <v>80.733333333333334</v>
      </c>
      <c r="M891" s="52">
        <f>L891+E891</f>
        <v>157.73333333333335</v>
      </c>
      <c r="N891" s="17">
        <f>(M891/D$6)^E$6</f>
        <v>0.40832762011069829</v>
      </c>
      <c r="O891" s="17">
        <f>(L891/D$6)^E$6</f>
        <v>0.11592364675943075</v>
      </c>
      <c r="P891" s="32">
        <f>1-EXP(O891-N891)</f>
        <v>0.25353307768869848</v>
      </c>
      <c r="Q891" s="53">
        <f>R890*(1-AF891*C$7)</f>
        <v>80.733333333333334</v>
      </c>
      <c r="R891" s="54">
        <f>Q891+E891</f>
        <v>157.73333333333335</v>
      </c>
      <c r="S891" s="16">
        <f>(R891/D$7)^E$7</f>
        <v>1.269075582984684</v>
      </c>
      <c r="T891" s="16">
        <f>(Q891/D$7)^E$7</f>
        <v>0.24927110408438607</v>
      </c>
      <c r="U891" s="35">
        <f>1-EXP(T891-S891)</f>
        <v>0.63933454901472087</v>
      </c>
      <c r="V891" s="55">
        <f>W890*(1-AG891*C$8)</f>
        <v>80.733333333333334</v>
      </c>
      <c r="W891" s="56">
        <f>V891+E891</f>
        <v>157.73333333333335</v>
      </c>
      <c r="X891" s="18">
        <f>(W891/D$8)^E$8</f>
        <v>7.0886439782400334E-2</v>
      </c>
      <c r="Y891" s="18">
        <f>(V891/D$8)^E$8</f>
        <v>1.3021486169574397E-2</v>
      </c>
      <c r="Z891" s="38">
        <f>1-EXP(Y891-X891)</f>
        <v>5.6222607441735239E-2</v>
      </c>
      <c r="AA891" s="41">
        <f>K891*P891*U891*Z891</f>
        <v>2.5277526035094779E-3</v>
      </c>
      <c r="AB891" s="42">
        <f>1-AA891</f>
        <v>0.99747224739649054</v>
      </c>
      <c r="AC891" s="47">
        <f>(AF891*F$7)+E891+AC890</f>
        <v>200.33333333333334</v>
      </c>
      <c r="AD891" s="77">
        <v>1</v>
      </c>
      <c r="AE891" s="78">
        <v>1</v>
      </c>
      <c r="AF891" s="78">
        <v>1</v>
      </c>
      <c r="AG891" s="78">
        <v>1</v>
      </c>
      <c r="AH891" s="74">
        <v>40</v>
      </c>
    </row>
    <row r="892" spans="1:34" ht="15.75" thickBot="1" x14ac:dyDescent="0.3">
      <c r="A892" s="57">
        <v>1</v>
      </c>
      <c r="B892" s="58">
        <v>6</v>
      </c>
      <c r="C892" s="58">
        <v>500</v>
      </c>
      <c r="D892" s="9">
        <v>5</v>
      </c>
      <c r="E892" s="48">
        <f t="shared" si="93"/>
        <v>55</v>
      </c>
      <c r="F892" s="100">
        <v>106</v>
      </c>
      <c r="G892" s="68">
        <f>H891*(1-AD892*C$5)</f>
        <v>110.41333333333334</v>
      </c>
      <c r="H892" s="69">
        <f>G892+E892</f>
        <v>165.41333333333336</v>
      </c>
      <c r="I892" s="70">
        <f>(H892/D$5)^E$5</f>
        <v>0.51407695397697584</v>
      </c>
      <c r="J892" s="70">
        <f>(G892/D$5)^E$5</f>
        <v>0.25546321792697063</v>
      </c>
      <c r="K892" s="29">
        <f>1-EXP(J892-I892)</f>
        <v>0.22787879196136918</v>
      </c>
      <c r="L892" s="51">
        <f>M891*(1-AE892*C$6)</f>
        <v>110.41333333333334</v>
      </c>
      <c r="M892" s="52">
        <f>L892+E892</f>
        <v>165.41333333333336</v>
      </c>
      <c r="N892" s="17">
        <f>(M892/D$6)^E$6</f>
        <v>0.44650381920973092</v>
      </c>
      <c r="O892" s="17">
        <f>(L892/D$6)^E$6</f>
        <v>0.20883008858438834</v>
      </c>
      <c r="P892" s="32">
        <f>1-EXP(O892-N892)</f>
        <v>0.21154010054978001</v>
      </c>
      <c r="Q892" s="53">
        <f>R891*(1-AF892*C$7)</f>
        <v>110.41333333333334</v>
      </c>
      <c r="R892" s="54">
        <f>Q892+E892</f>
        <v>165.41333333333336</v>
      </c>
      <c r="S892" s="16">
        <f>(R892/D$7)^E$7</f>
        <v>1.4244912195012376</v>
      </c>
      <c r="T892" s="16">
        <f>(Q892/D$7)^E$7</f>
        <v>0.53342789833968418</v>
      </c>
      <c r="U892" s="35">
        <f>1-EXP(T892-S892)</f>
        <v>0.58978067412758073</v>
      </c>
      <c r="V892" s="55">
        <f>W891*(1-AG892*C$8)</f>
        <v>110.41333333333334</v>
      </c>
      <c r="W892" s="56">
        <f>V892+E892</f>
        <v>165.41333333333336</v>
      </c>
      <c r="X892" s="18">
        <f>(W892/D$8)^E$8</f>
        <v>7.9946629016579548E-2</v>
      </c>
      <c r="Y892" s="18">
        <f>(V892/D$8)^E$8</f>
        <v>2.8751546259108696E-2</v>
      </c>
      <c r="Z892" s="38">
        <f>1-EXP(Y892-X892)</f>
        <v>4.9906694369650229E-2</v>
      </c>
      <c r="AA892" s="41">
        <f>K892*P892*U892*Z892</f>
        <v>1.4188809480223997E-3</v>
      </c>
      <c r="AB892" s="42">
        <f>1-AA892</f>
        <v>0.99858111905197755</v>
      </c>
      <c r="AC892" s="47">
        <f>(AF892*F$7)+E892+AC891</f>
        <v>263.33333333333337</v>
      </c>
      <c r="AD892" s="80">
        <v>1</v>
      </c>
      <c r="AE892" s="45">
        <v>1</v>
      </c>
      <c r="AF892" s="81">
        <v>1</v>
      </c>
      <c r="AG892" s="45">
        <v>1</v>
      </c>
      <c r="AH892" s="94">
        <v>110</v>
      </c>
    </row>
    <row r="893" spans="1:34" ht="18.75" x14ac:dyDescent="0.3">
      <c r="A893" s="132" t="s">
        <v>53</v>
      </c>
      <c r="B893" s="132"/>
      <c r="C893" s="132"/>
      <c r="D893" s="132"/>
      <c r="E893" s="132"/>
      <c r="F893" s="132"/>
      <c r="G893" s="132"/>
      <c r="H893" s="132"/>
      <c r="I893" s="132"/>
      <c r="J893" s="132"/>
      <c r="AG893" s="46"/>
    </row>
    <row r="894" spans="1:34" ht="15.75" x14ac:dyDescent="0.25">
      <c r="A894" s="19" t="s">
        <v>82</v>
      </c>
      <c r="B894" s="60" t="s">
        <v>49</v>
      </c>
      <c r="C894" s="61" t="s">
        <v>50</v>
      </c>
      <c r="D894" s="19" t="s">
        <v>48</v>
      </c>
      <c r="E894" s="60" t="s">
        <v>57</v>
      </c>
      <c r="F894" s="61" t="s">
        <v>50</v>
      </c>
      <c r="G894" s="19" t="s">
        <v>54</v>
      </c>
      <c r="H894" s="60" t="s">
        <v>61</v>
      </c>
      <c r="I894" s="61" t="s">
        <v>50</v>
      </c>
      <c r="J894" s="19" t="s">
        <v>58</v>
      </c>
      <c r="K894" s="83" t="s">
        <v>84</v>
      </c>
      <c r="L894" s="61" t="s">
        <v>50</v>
      </c>
      <c r="M894" s="61" t="s">
        <v>85</v>
      </c>
      <c r="O894" s="174" t="s">
        <v>64</v>
      </c>
      <c r="P894" s="174"/>
      <c r="Q894" s="175" t="s">
        <v>109</v>
      </c>
      <c r="R894" s="175"/>
    </row>
    <row r="895" spans="1:34" ht="24.75" x14ac:dyDescent="0.25">
      <c r="A895" s="61" t="s">
        <v>51</v>
      </c>
      <c r="B895" s="1">
        <f>AA889</f>
        <v>1.3060317021926209E-5</v>
      </c>
      <c r="C895" s="59">
        <f>MAX(AC889+1*L882-F889,0)</f>
        <v>0</v>
      </c>
      <c r="D895" s="62" t="s">
        <v>55</v>
      </c>
      <c r="E895" s="1">
        <f>AA889*AA890</f>
        <v>1.9620816302085884E-9</v>
      </c>
      <c r="F895" s="1">
        <f>MAX(AC890+2*L882-F890,0)</f>
        <v>44.333333333333343</v>
      </c>
      <c r="G895" s="62" t="s">
        <v>59</v>
      </c>
      <c r="H895" s="1">
        <f>AA889*AA890*AA891</f>
        <v>4.9596569490578798E-12</v>
      </c>
      <c r="I895" s="1">
        <f>AC891+3*L882-F891</f>
        <v>160.33333333333334</v>
      </c>
      <c r="J895" s="62" t="s">
        <v>83</v>
      </c>
      <c r="K895" s="1">
        <f>AA889*AA890*AA891*AA892</f>
        <v>7.0371627537451271E-15</v>
      </c>
      <c r="L895" s="1">
        <f>AC892+4*L882-F892</f>
        <v>205.33333333333337</v>
      </c>
      <c r="M895" s="1">
        <f>B895*C895*AH889+E895*F895*AH890+H895*I895*AH891+K895*L895*AH892</f>
        <v>5.860003348212267E-6</v>
      </c>
      <c r="O895" s="1" t="s">
        <v>27</v>
      </c>
      <c r="P895" s="1">
        <f>2*H880</f>
        <v>3640</v>
      </c>
      <c r="Q895" s="1">
        <f>(K889*(1-P889)*(1-U889)*(1-Z889))+(P889*(1-K889)*(1-U889)*(1-Z889))+(U889*(1-K889)*(1-P889)*(1-Z889))+(Z889*(1-K889)*(1-P889)*(1-U889))</f>
        <v>0.28083409477630866</v>
      </c>
      <c r="R895" s="1">
        <f>Q895*(L$7*(J$5*K$5+L$5)+I$5)</f>
        <v>9897.9976703909997</v>
      </c>
    </row>
    <row r="896" spans="1:34" ht="24.75" x14ac:dyDescent="0.25">
      <c r="A896" s="62" t="s">
        <v>52</v>
      </c>
      <c r="B896" s="1">
        <f>AB889</f>
        <v>0.99998693968297803</v>
      </c>
      <c r="C896" s="59">
        <f>MAX(AC889-F889,0)</f>
        <v>0</v>
      </c>
      <c r="D896" s="62" t="s">
        <v>56</v>
      </c>
      <c r="E896" s="1">
        <f>AA889*AB890+AA890*AB889</f>
        <v>1.6328870551344767E-4</v>
      </c>
      <c r="F896" s="1">
        <f>MAX(AC890+1*L882-F890,0)</f>
        <v>32.333333333333343</v>
      </c>
      <c r="G896" s="62" t="s">
        <v>60</v>
      </c>
      <c r="H896" s="1">
        <f>AA889*AA890*AB891+AA890*AA891*AB889+AA889*AA891*AB890</f>
        <v>4.1471057245856939E-7</v>
      </c>
      <c r="I896" s="1">
        <f>AC891+2*L882-F891</f>
        <v>148.33333333333334</v>
      </c>
      <c r="J896" s="62" t="s">
        <v>59</v>
      </c>
      <c r="K896">
        <f>AB889*AA890*AA891*AA892+AB890*AA889*AA891*AA892*+AB891*AA889*AA890*AA892+AB892*AA889*AA890*AA891</f>
        <v>5.4376579211253443E-10</v>
      </c>
      <c r="L896" s="1">
        <f>AC892+3*L882-F892</f>
        <v>193.33333333333337</v>
      </c>
      <c r="M896" s="1">
        <f>B896*C896*AH889+E896*F896*AH890+H896*I896*AH891+K896*L896*AH892</f>
        <v>0.35620994585973198</v>
      </c>
      <c r="O896" s="1" t="s">
        <v>28</v>
      </c>
      <c r="P896" s="1">
        <f>2*H881</f>
        <v>5440</v>
      </c>
      <c r="Q896" s="1">
        <f t="shared" ref="Q896:Q898" si="94">(K890*(1-P890)*(1-U890)*(1-Z890))+(P890*(1-K890)*(1-U890)*(1-Z890))+(U890*(1-K890)*(1-P890)*(1-Z890))+(Z890*(1-K890)*(1-P890)*(1-U890))</f>
        <v>0.41290502350113689</v>
      </c>
      <c r="R896" s="1">
        <f t="shared" ref="R896:R898" si="95">Q896*(L$7*(J$5*K$5+L$5)+I$5)</f>
        <v>14552.83755329757</v>
      </c>
    </row>
    <row r="897" spans="1:20" ht="24.75" x14ac:dyDescent="0.25">
      <c r="A897" s="1"/>
      <c r="B897" s="1"/>
      <c r="C897" s="1"/>
      <c r="D897" s="62" t="s">
        <v>52</v>
      </c>
      <c r="E897" s="1">
        <f>AB889*AB890</f>
        <v>0.99983670933240487</v>
      </c>
      <c r="F897" s="59">
        <f>MAX(AC890-F890,0)</f>
        <v>20.333333333333343</v>
      </c>
      <c r="G897" s="62" t="s">
        <v>56</v>
      </c>
      <c r="H897" s="1">
        <f>AA889*AB890*AB891+AA890*AB889*AB891*+AA891*AB889*AB890</f>
        <v>1.340407005547157E-5</v>
      </c>
      <c r="I897" s="1">
        <f>AC891+1*L882-F891</f>
        <v>136.33333333333334</v>
      </c>
      <c r="J897" s="62" t="s">
        <v>60</v>
      </c>
      <c r="K897" s="1">
        <f>AA889*AA890*AB891*AB892 + AA889*AA891*AB890*AB892 + AA889*AA892*AB890*AB891 + AA890*AA891*AB889*AB892 + AA890*AA892*AB889*AB891 + AA891*AA892*AB889*AB890</f>
        <v>4.2312180881908414E-6</v>
      </c>
      <c r="L897" s="1">
        <f>AC892+2*L882-F892</f>
        <v>181.33333333333337</v>
      </c>
      <c r="M897" s="1">
        <f>B897*C897*AH889+E897*F897*AH890+H897*I897*AH891+K897*L897*AH892</f>
        <v>1362.2683725726815</v>
      </c>
      <c r="O897" s="1" t="s">
        <v>29</v>
      </c>
      <c r="P897" s="1">
        <f>2*(F882*(J880*K880+L880)+H882)</f>
        <v>28200</v>
      </c>
      <c r="Q897" s="1">
        <f t="shared" si="94"/>
        <v>0.46925700017752564</v>
      </c>
      <c r="R897" s="1">
        <f t="shared" si="95"/>
        <v>16538.962971256889</v>
      </c>
    </row>
    <row r="898" spans="1:20" ht="24.75" x14ac:dyDescent="0.25">
      <c r="A898" s="1"/>
      <c r="B898" s="1"/>
      <c r="C898" s="1"/>
      <c r="D898" s="1"/>
      <c r="E898" s="1"/>
      <c r="F898" s="1"/>
      <c r="G898" s="62" t="s">
        <v>52</v>
      </c>
      <c r="H898" s="1">
        <f>AB889*AB890*AB891</f>
        <v>0.99730936948730553</v>
      </c>
      <c r="I898" s="63">
        <f>AC891-F891</f>
        <v>124.33333333333334</v>
      </c>
      <c r="J898" s="62" t="s">
        <v>56</v>
      </c>
      <c r="K898" s="1">
        <f>AA889*AB890*AB891*AB892+AA890*AB889*AB891*AB892+AA891*AB889*AB890*AB892+AA892*AB889*AB890*AB891</f>
        <v>4.1014619648714057E-3</v>
      </c>
      <c r="L898" s="1">
        <f>AC892+1*L882-F892</f>
        <v>169.33333333333337</v>
      </c>
      <c r="M898" s="1">
        <f>B898*C898*AH889+E898*F898*AH890+H898*I898*AH891+K898*L898*AH892</f>
        <v>5036.3484957825376</v>
      </c>
      <c r="O898" s="1" t="s">
        <v>30</v>
      </c>
      <c r="P898" s="1">
        <f>2*H883</f>
        <v>8640</v>
      </c>
      <c r="Q898" s="1">
        <f t="shared" si="94"/>
        <v>0.48728121972076005</v>
      </c>
      <c r="R898" s="1">
        <f t="shared" si="95"/>
        <v>17174.226589058188</v>
      </c>
    </row>
    <row r="899" spans="1:20" ht="30" x14ac:dyDescent="0.25">
      <c r="I899" s="84"/>
      <c r="J899" s="62" t="s">
        <v>52</v>
      </c>
      <c r="K899" s="85">
        <f>AB889*AB890*AB891*AB892</f>
        <v>0.99589430622365571</v>
      </c>
      <c r="L899" s="1">
        <f>AC892+0*L882-F892</f>
        <v>157.33333333333337</v>
      </c>
      <c r="M899" s="1">
        <f>B899*C899*AH889+E899*F899*AH890+H899*I899*AH891+K899*L899*AH892</f>
        <v>17235.610793044074</v>
      </c>
      <c r="O899" s="64" t="s">
        <v>65</v>
      </c>
      <c r="P899" s="65">
        <f>SUM(P895:P898)</f>
        <v>45920</v>
      </c>
      <c r="Q899" s="96" t="s">
        <v>108</v>
      </c>
      <c r="R899" s="97">
        <f>SUM(R895:R898)</f>
        <v>58164.024784003646</v>
      </c>
    </row>
    <row r="900" spans="1:20" x14ac:dyDescent="0.25">
      <c r="L900" s="176" t="s">
        <v>63</v>
      </c>
      <c r="M900" s="177">
        <f>SUM(M895:M899)</f>
        <v>23634.583877205157</v>
      </c>
    </row>
    <row r="901" spans="1:20" x14ac:dyDescent="0.25">
      <c r="L901" s="176"/>
      <c r="M901" s="177"/>
    </row>
    <row r="902" spans="1:20" x14ac:dyDescent="0.25">
      <c r="A902" s="178" t="s">
        <v>90</v>
      </c>
      <c r="B902" s="178"/>
      <c r="C902" s="178"/>
      <c r="D902" s="178"/>
      <c r="E902" s="178"/>
      <c r="F902" s="178"/>
      <c r="G902" s="178"/>
      <c r="H902" s="178"/>
      <c r="I902" s="178"/>
      <c r="J902" s="178"/>
      <c r="K902" s="178"/>
      <c r="L902" s="178"/>
      <c r="M902" s="178"/>
      <c r="N902" s="178"/>
    </row>
    <row r="903" spans="1:20" ht="15.75" x14ac:dyDescent="0.25">
      <c r="A903" s="87" t="s">
        <v>86</v>
      </c>
      <c r="B903" s="62" t="s">
        <v>49</v>
      </c>
      <c r="C903" s="90" t="s">
        <v>103</v>
      </c>
      <c r="D903" s="62" t="s">
        <v>88</v>
      </c>
      <c r="E903" s="87" t="s">
        <v>75</v>
      </c>
      <c r="F903" s="62" t="s">
        <v>57</v>
      </c>
      <c r="G903" s="90" t="s">
        <v>87</v>
      </c>
      <c r="H903" s="62" t="s">
        <v>88</v>
      </c>
      <c r="I903" s="87" t="s">
        <v>76</v>
      </c>
      <c r="J903" s="62" t="s">
        <v>61</v>
      </c>
      <c r="K903" s="90" t="s">
        <v>102</v>
      </c>
      <c r="L903" s="62" t="s">
        <v>88</v>
      </c>
      <c r="M903" s="87" t="s">
        <v>77</v>
      </c>
      <c r="N903" s="62" t="s">
        <v>84</v>
      </c>
      <c r="O903" s="90" t="s">
        <v>78</v>
      </c>
      <c r="P903" s="62" t="s">
        <v>88</v>
      </c>
    </row>
    <row r="904" spans="1:20" ht="24.75" x14ac:dyDescent="0.25">
      <c r="A904" s="62" t="s">
        <v>51</v>
      </c>
      <c r="B904" s="86">
        <v>1.3060317021926209E-5</v>
      </c>
      <c r="C904" s="86">
        <f>AC889+1*L882</f>
        <v>81.666666666666671</v>
      </c>
      <c r="D904" s="86">
        <f>MAX(B904*1.5*((C904-F889)*500/2),0)</f>
        <v>0</v>
      </c>
      <c r="E904" s="62" t="s">
        <v>55</v>
      </c>
      <c r="F904" s="86">
        <v>1.4503313202120812E-9</v>
      </c>
      <c r="G904" s="86">
        <f>AC890+2*L882</f>
        <v>139.33333333333334</v>
      </c>
      <c r="H904" s="86">
        <f>F904*1.5*((G904-F890)*500/2+(G904-F891)*500+(G904-F892)*500)</f>
        <v>1.2926077891390177E-4</v>
      </c>
      <c r="I904" s="62" t="s">
        <v>59</v>
      </c>
      <c r="J904" s="86">
        <v>4.75170301847994E-12</v>
      </c>
      <c r="K904" s="86">
        <f>AC891+3*L882</f>
        <v>236.33333333333334</v>
      </c>
      <c r="L904" s="86">
        <f>J904*1.5*((K904-G904)*500/2+(K904-G904)*500)</f>
        <v>5.1852959189162349E-7</v>
      </c>
      <c r="M904" s="62" t="s">
        <v>83</v>
      </c>
      <c r="N904" s="86">
        <v>7.9847897531211883E-15</v>
      </c>
      <c r="O904" s="86">
        <f>AC892+4*L882</f>
        <v>311.33333333333337</v>
      </c>
      <c r="P904" s="86">
        <f>N904*1.5*((O904-K904)*500/2)</f>
        <v>2.2457221180653353E-10</v>
      </c>
    </row>
    <row r="905" spans="1:20" ht="24.75" x14ac:dyDescent="0.25">
      <c r="A905" s="62" t="s">
        <v>52</v>
      </c>
      <c r="B905" s="86">
        <v>0.99998693968297803</v>
      </c>
      <c r="C905" s="88">
        <f>AC889</f>
        <v>69.666666666666671</v>
      </c>
      <c r="D905" s="86">
        <f>MAX(B905*1.5*((C905-F889)*500/2),0)</f>
        <v>0</v>
      </c>
      <c r="E905" s="62" t="s">
        <v>56</v>
      </c>
      <c r="F905" s="86">
        <v>1.2410612350607279E-4</v>
      </c>
      <c r="G905" s="86">
        <f>AC890+1*L882</f>
        <v>127.33333333333334</v>
      </c>
      <c r="H905" s="86">
        <f>F905*1.5*((G905-F890)*500/2+(G905-F891)*500+(G905-F892)*500)</f>
        <v>8.2685704785921015</v>
      </c>
      <c r="I905" s="62" t="s">
        <v>60</v>
      </c>
      <c r="J905" s="86">
        <v>4.0805297577369154E-7</v>
      </c>
      <c r="K905" s="86">
        <f>AC891+2*L882</f>
        <v>224.33333333333334</v>
      </c>
      <c r="L905" s="86">
        <f>J905*1.5*((K905-G905)*500/2+(K905-G905)*500)</f>
        <v>4.4528780981304091E-2</v>
      </c>
      <c r="M905" s="62" t="s">
        <v>59</v>
      </c>
      <c r="N905" s="86">
        <v>6.1611367623456343E-10</v>
      </c>
      <c r="O905" s="86">
        <f>AC892+3*L882</f>
        <v>299.33333333333337</v>
      </c>
      <c r="P905" s="86">
        <f>N905*1.5*((O905-K905)*500/2)</f>
        <v>1.7328197144097102E-5</v>
      </c>
    </row>
    <row r="906" spans="1:20" x14ac:dyDescent="0.25">
      <c r="A906" s="86"/>
      <c r="B906" s="86"/>
      <c r="C906" s="89" t="s">
        <v>89</v>
      </c>
      <c r="D906" s="89">
        <f>SUM(D904:D905)</f>
        <v>0</v>
      </c>
      <c r="E906" s="62" t="s">
        <v>52</v>
      </c>
      <c r="F906" s="86">
        <v>0.99987589242616259</v>
      </c>
      <c r="G906" s="86">
        <f>AC890+0*L882</f>
        <v>115.33333333333334</v>
      </c>
      <c r="H906" s="86">
        <f>F906*1.5*((G906-F890)*500/2+(G906-F891)*500+(G906-F892)*500)</f>
        <v>44119.523753304442</v>
      </c>
      <c r="I906" s="62" t="s">
        <v>56</v>
      </c>
      <c r="J906" s="86">
        <v>1.3378667878329382E-5</v>
      </c>
      <c r="K906" s="86">
        <f>AC891+1*L882</f>
        <v>212.33333333333334</v>
      </c>
      <c r="L906" s="86">
        <f>J906*1.5*((K906-G906)*500/2+(K906-G906)*500)</f>
        <v>1.4599471322226938</v>
      </c>
      <c r="M906" s="62" t="s">
        <v>60</v>
      </c>
      <c r="N906" s="86">
        <v>6.1200429702836032E-6</v>
      </c>
      <c r="O906" s="86">
        <f>AC892+2*L882</f>
        <v>287.33333333333337</v>
      </c>
      <c r="P906" s="86">
        <f>N906*1.5*((O906-K906)*500/2)</f>
        <v>0.17212620853922639</v>
      </c>
    </row>
    <row r="907" spans="1:20" x14ac:dyDescent="0.25">
      <c r="A907" s="86"/>
      <c r="B907" s="86"/>
      <c r="C907" s="86"/>
      <c r="D907" s="86"/>
      <c r="E907" s="86"/>
      <c r="F907" s="86"/>
      <c r="G907" s="89" t="s">
        <v>79</v>
      </c>
      <c r="H907" s="89">
        <f>SUM(H904:H906)</f>
        <v>44127.79245304381</v>
      </c>
      <c r="I907" s="62" t="s">
        <v>52</v>
      </c>
      <c r="J907" s="86">
        <v>0.99660001109481822</v>
      </c>
      <c r="K907" s="86">
        <f>AC891+0*L882</f>
        <v>200.33333333333334</v>
      </c>
      <c r="L907" s="86">
        <f>J907*1.5*((K907-G906)*500/2+(K907-G906)*500)</f>
        <v>95299.876060941984</v>
      </c>
      <c r="M907" s="62" t="s">
        <v>56</v>
      </c>
      <c r="N907" s="86">
        <v>5.0685607031800833E-3</v>
      </c>
      <c r="O907" s="86">
        <f>AC892+1*L882</f>
        <v>275.33333333333337</v>
      </c>
      <c r="P907" s="86">
        <f>N907*1.5*((O907-K907)*500/2)</f>
        <v>142.55326977693989</v>
      </c>
    </row>
    <row r="908" spans="1:20" x14ac:dyDescent="0.25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9" t="s">
        <v>79</v>
      </c>
      <c r="L908" s="89">
        <f>SUM(L904:L907)</f>
        <v>95301.380537373712</v>
      </c>
      <c r="M908" s="62" t="s">
        <v>52</v>
      </c>
      <c r="N908" s="86">
        <v>0.99492531856340327</v>
      </c>
      <c r="O908" s="86">
        <f>AC892+0*L882</f>
        <v>263.33333333333337</v>
      </c>
      <c r="P908" s="86">
        <f>N908*1.5*((O908-K907)*500/2)</f>
        <v>23505.110651060411</v>
      </c>
      <c r="Q908" s="179" t="s">
        <v>80</v>
      </c>
      <c r="R908" s="179"/>
      <c r="S908" s="180">
        <f>D906+H907+L908+P909</f>
        <v>163077.00905479182</v>
      </c>
      <c r="T908" s="180"/>
    </row>
    <row r="909" spans="1:20" x14ac:dyDescent="0.25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9" t="s">
        <v>79</v>
      </c>
      <c r="P909" s="89">
        <f>SUM(P904:P908)</f>
        <v>23647.836064374311</v>
      </c>
      <c r="Q909" s="179"/>
      <c r="R909" s="179"/>
      <c r="S909" s="180"/>
      <c r="T909" s="180"/>
    </row>
    <row r="910" spans="1:20" x14ac:dyDescent="0.25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</row>
    <row r="911" spans="1:20" x14ac:dyDescent="0.25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</row>
    <row r="912" spans="1:20" x14ac:dyDescent="0.25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</row>
    <row r="913" spans="15:18" ht="24" x14ac:dyDescent="0.25">
      <c r="O913" s="131" t="s">
        <v>81</v>
      </c>
      <c r="P913" s="131"/>
      <c r="Q913" s="131">
        <f>(R899+P899+M900+S908)/AC892</f>
        <v>1104.2871558835466</v>
      </c>
      <c r="R913" s="131"/>
    </row>
  </sheetData>
  <mergeCells count="792">
    <mergeCell ref="A10:A12"/>
    <mergeCell ref="B10:E12"/>
    <mergeCell ref="G12:K12"/>
    <mergeCell ref="L12:P12"/>
    <mergeCell ref="A1:B2"/>
    <mergeCell ref="A3:M3"/>
    <mergeCell ref="O3:V3"/>
    <mergeCell ref="O4:O5"/>
    <mergeCell ref="P4:P5"/>
    <mergeCell ref="Q4:Q5"/>
    <mergeCell ref="T4:T5"/>
    <mergeCell ref="G5:G8"/>
    <mergeCell ref="I5:I8"/>
    <mergeCell ref="K7:K8"/>
    <mergeCell ref="Q12:U12"/>
    <mergeCell ref="V12:Z12"/>
    <mergeCell ref="AA12:AB12"/>
    <mergeCell ref="AC12:AC13"/>
    <mergeCell ref="AD12:AG12"/>
    <mergeCell ref="AH12:AH13"/>
    <mergeCell ref="L7:L8"/>
    <mergeCell ref="M7:M8"/>
    <mergeCell ref="N7:N8"/>
    <mergeCell ref="Q33:R34"/>
    <mergeCell ref="S33:T34"/>
    <mergeCell ref="O38:P38"/>
    <mergeCell ref="Q38:R38"/>
    <mergeCell ref="A39:B40"/>
    <mergeCell ref="A41:M41"/>
    <mergeCell ref="O41:V41"/>
    <mergeCell ref="A18:J18"/>
    <mergeCell ref="O19:P19"/>
    <mergeCell ref="Q19:R19"/>
    <mergeCell ref="L25:L26"/>
    <mergeCell ref="M25:M26"/>
    <mergeCell ref="A27:N27"/>
    <mergeCell ref="O42:O43"/>
    <mergeCell ref="P42:P43"/>
    <mergeCell ref="Q42:Q43"/>
    <mergeCell ref="T42:T43"/>
    <mergeCell ref="G43:G46"/>
    <mergeCell ref="I43:I46"/>
    <mergeCell ref="K45:K46"/>
    <mergeCell ref="L45:L46"/>
    <mergeCell ref="M45:M46"/>
    <mergeCell ref="N45:N46"/>
    <mergeCell ref="AD50:AG50"/>
    <mergeCell ref="AH50:AH51"/>
    <mergeCell ref="A56:J56"/>
    <mergeCell ref="O57:P57"/>
    <mergeCell ref="Q57:R57"/>
    <mergeCell ref="A48:A50"/>
    <mergeCell ref="B48:E50"/>
    <mergeCell ref="G50:K50"/>
    <mergeCell ref="L50:P50"/>
    <mergeCell ref="Q50:U50"/>
    <mergeCell ref="V50:Z50"/>
    <mergeCell ref="L63:L64"/>
    <mergeCell ref="M63:M64"/>
    <mergeCell ref="A65:N65"/>
    <mergeCell ref="Q71:R72"/>
    <mergeCell ref="S71:T72"/>
    <mergeCell ref="O76:P76"/>
    <mergeCell ref="Q76:R76"/>
    <mergeCell ref="AA50:AB50"/>
    <mergeCell ref="AC50:AC51"/>
    <mergeCell ref="A86:A88"/>
    <mergeCell ref="B86:E88"/>
    <mergeCell ref="G88:K88"/>
    <mergeCell ref="L88:P88"/>
    <mergeCell ref="A77:B78"/>
    <mergeCell ref="A79:M79"/>
    <mergeCell ref="O79:V79"/>
    <mergeCell ref="O80:O81"/>
    <mergeCell ref="P80:P81"/>
    <mergeCell ref="Q80:Q81"/>
    <mergeCell ref="T80:T81"/>
    <mergeCell ref="G81:G84"/>
    <mergeCell ref="I81:I84"/>
    <mergeCell ref="K83:K84"/>
    <mergeCell ref="Q88:U88"/>
    <mergeCell ref="V88:Z88"/>
    <mergeCell ref="AA88:AB88"/>
    <mergeCell ref="AC88:AC89"/>
    <mergeCell ref="AD88:AG88"/>
    <mergeCell ref="AH88:AH89"/>
    <mergeCell ref="L83:L84"/>
    <mergeCell ref="M83:M84"/>
    <mergeCell ref="N83:N84"/>
    <mergeCell ref="Q109:R110"/>
    <mergeCell ref="S109:T110"/>
    <mergeCell ref="O114:P114"/>
    <mergeCell ref="Q114:R114"/>
    <mergeCell ref="A115:B116"/>
    <mergeCell ref="A117:M117"/>
    <mergeCell ref="O117:V117"/>
    <mergeCell ref="A94:J94"/>
    <mergeCell ref="O95:P95"/>
    <mergeCell ref="Q95:R95"/>
    <mergeCell ref="L101:L102"/>
    <mergeCell ref="M101:M102"/>
    <mergeCell ref="A103:N103"/>
    <mergeCell ref="O118:O119"/>
    <mergeCell ref="P118:P119"/>
    <mergeCell ref="Q118:Q119"/>
    <mergeCell ref="T118:T119"/>
    <mergeCell ref="G119:G122"/>
    <mergeCell ref="I119:I122"/>
    <mergeCell ref="K121:K122"/>
    <mergeCell ref="L121:L122"/>
    <mergeCell ref="M121:M122"/>
    <mergeCell ref="N121:N122"/>
    <mergeCell ref="AD126:AG126"/>
    <mergeCell ref="AH126:AH127"/>
    <mergeCell ref="A132:J132"/>
    <mergeCell ref="O133:P133"/>
    <mergeCell ref="Q133:R133"/>
    <mergeCell ref="A124:A126"/>
    <mergeCell ref="B124:E126"/>
    <mergeCell ref="G126:K126"/>
    <mergeCell ref="L126:P126"/>
    <mergeCell ref="Q126:U126"/>
    <mergeCell ref="V126:Z126"/>
    <mergeCell ref="L139:L140"/>
    <mergeCell ref="M139:M140"/>
    <mergeCell ref="A141:N141"/>
    <mergeCell ref="Q147:R148"/>
    <mergeCell ref="S147:T148"/>
    <mergeCell ref="O152:P152"/>
    <mergeCell ref="Q152:R152"/>
    <mergeCell ref="AA126:AB126"/>
    <mergeCell ref="AC126:AC127"/>
    <mergeCell ref="A162:A164"/>
    <mergeCell ref="B162:E164"/>
    <mergeCell ref="G164:K164"/>
    <mergeCell ref="L164:P164"/>
    <mergeCell ref="A153:B154"/>
    <mergeCell ref="A155:M155"/>
    <mergeCell ref="O155:V155"/>
    <mergeCell ref="O156:O157"/>
    <mergeCell ref="P156:P157"/>
    <mergeCell ref="Q156:Q157"/>
    <mergeCell ref="T156:T157"/>
    <mergeCell ref="G157:G160"/>
    <mergeCell ref="I157:I160"/>
    <mergeCell ref="K159:K160"/>
    <mergeCell ref="Q164:U164"/>
    <mergeCell ref="V164:Z164"/>
    <mergeCell ref="AA164:AB164"/>
    <mergeCell ref="AC164:AC165"/>
    <mergeCell ref="AD164:AG164"/>
    <mergeCell ref="AH164:AH165"/>
    <mergeCell ref="L159:L160"/>
    <mergeCell ref="M159:M160"/>
    <mergeCell ref="N159:N160"/>
    <mergeCell ref="Q185:R186"/>
    <mergeCell ref="S185:T186"/>
    <mergeCell ref="O190:P190"/>
    <mergeCell ref="Q190:R190"/>
    <mergeCell ref="A191:B192"/>
    <mergeCell ref="A193:M193"/>
    <mergeCell ref="O193:V193"/>
    <mergeCell ref="A170:J170"/>
    <mergeCell ref="O171:P171"/>
    <mergeCell ref="Q171:R171"/>
    <mergeCell ref="L177:L178"/>
    <mergeCell ref="M177:M178"/>
    <mergeCell ref="A179:N179"/>
    <mergeCell ref="O194:O195"/>
    <mergeCell ref="P194:P195"/>
    <mergeCell ref="Q194:Q195"/>
    <mergeCell ref="T194:T195"/>
    <mergeCell ref="G195:G198"/>
    <mergeCell ref="I195:I198"/>
    <mergeCell ref="K197:K198"/>
    <mergeCell ref="L197:L198"/>
    <mergeCell ref="M197:M198"/>
    <mergeCell ref="N197:N198"/>
    <mergeCell ref="AD202:AG202"/>
    <mergeCell ref="AH202:AH203"/>
    <mergeCell ref="A208:J208"/>
    <mergeCell ref="O209:P209"/>
    <mergeCell ref="Q209:R209"/>
    <mergeCell ref="A200:A202"/>
    <mergeCell ref="B200:E202"/>
    <mergeCell ref="G202:K202"/>
    <mergeCell ref="L202:P202"/>
    <mergeCell ref="Q202:U202"/>
    <mergeCell ref="V202:Z202"/>
    <mergeCell ref="L215:L216"/>
    <mergeCell ref="M215:M216"/>
    <mergeCell ref="A217:N217"/>
    <mergeCell ref="Q223:R224"/>
    <mergeCell ref="S223:T224"/>
    <mergeCell ref="O228:P228"/>
    <mergeCell ref="Q228:R228"/>
    <mergeCell ref="AA202:AB202"/>
    <mergeCell ref="AC202:AC203"/>
    <mergeCell ref="A238:A240"/>
    <mergeCell ref="B238:E240"/>
    <mergeCell ref="G240:K240"/>
    <mergeCell ref="L240:P240"/>
    <mergeCell ref="A229:B230"/>
    <mergeCell ref="A231:M231"/>
    <mergeCell ref="O231:V231"/>
    <mergeCell ref="O232:O233"/>
    <mergeCell ref="P232:P233"/>
    <mergeCell ref="Q232:Q233"/>
    <mergeCell ref="T232:T233"/>
    <mergeCell ref="G233:G236"/>
    <mergeCell ref="I233:I236"/>
    <mergeCell ref="K235:K236"/>
    <mergeCell ref="Q240:U240"/>
    <mergeCell ref="V240:Z240"/>
    <mergeCell ref="AA240:AB240"/>
    <mergeCell ref="AC240:AC241"/>
    <mergeCell ref="AD240:AG240"/>
    <mergeCell ref="AH240:AH241"/>
    <mergeCell ref="L235:L236"/>
    <mergeCell ref="M235:M236"/>
    <mergeCell ref="N235:N236"/>
    <mergeCell ref="Q261:R262"/>
    <mergeCell ref="S261:T262"/>
    <mergeCell ref="O266:P266"/>
    <mergeCell ref="Q266:R266"/>
    <mergeCell ref="A268:B269"/>
    <mergeCell ref="A270:M270"/>
    <mergeCell ref="O270:V270"/>
    <mergeCell ref="A246:J246"/>
    <mergeCell ref="O247:P247"/>
    <mergeCell ref="Q247:R247"/>
    <mergeCell ref="L253:L254"/>
    <mergeCell ref="M253:M254"/>
    <mergeCell ref="A255:N255"/>
    <mergeCell ref="O271:O272"/>
    <mergeCell ref="P271:P272"/>
    <mergeCell ref="Q271:Q272"/>
    <mergeCell ref="T271:T272"/>
    <mergeCell ref="G272:G275"/>
    <mergeCell ref="I272:I275"/>
    <mergeCell ref="K274:K275"/>
    <mergeCell ref="L274:L275"/>
    <mergeCell ref="M274:M275"/>
    <mergeCell ref="N274:N275"/>
    <mergeCell ref="AD279:AG279"/>
    <mergeCell ref="AH279:AH280"/>
    <mergeCell ref="A285:J285"/>
    <mergeCell ref="O286:P286"/>
    <mergeCell ref="Q286:R286"/>
    <mergeCell ref="A277:A279"/>
    <mergeCell ref="B277:E279"/>
    <mergeCell ref="G279:K279"/>
    <mergeCell ref="L279:P279"/>
    <mergeCell ref="Q279:U279"/>
    <mergeCell ref="V279:Z279"/>
    <mergeCell ref="L292:L293"/>
    <mergeCell ref="M292:M293"/>
    <mergeCell ref="A294:N294"/>
    <mergeCell ref="Q300:R301"/>
    <mergeCell ref="S300:T301"/>
    <mergeCell ref="O305:P305"/>
    <mergeCell ref="Q305:R305"/>
    <mergeCell ref="AA279:AB279"/>
    <mergeCell ref="AC279:AC280"/>
    <mergeCell ref="A315:A317"/>
    <mergeCell ref="B315:E317"/>
    <mergeCell ref="G317:K317"/>
    <mergeCell ref="L317:P317"/>
    <mergeCell ref="A306:B307"/>
    <mergeCell ref="A308:M308"/>
    <mergeCell ref="O308:V308"/>
    <mergeCell ref="O309:O310"/>
    <mergeCell ref="P309:P310"/>
    <mergeCell ref="Q309:Q310"/>
    <mergeCell ref="T309:T310"/>
    <mergeCell ref="G310:G313"/>
    <mergeCell ref="I310:I313"/>
    <mergeCell ref="K312:K313"/>
    <mergeCell ref="Q317:U317"/>
    <mergeCell ref="V317:Z317"/>
    <mergeCell ref="AA317:AB317"/>
    <mergeCell ref="AC317:AC318"/>
    <mergeCell ref="AD317:AG317"/>
    <mergeCell ref="AH317:AH318"/>
    <mergeCell ref="L312:L313"/>
    <mergeCell ref="M312:M313"/>
    <mergeCell ref="N312:N313"/>
    <mergeCell ref="Q338:R339"/>
    <mergeCell ref="S338:T339"/>
    <mergeCell ref="O343:P343"/>
    <mergeCell ref="Q343:R343"/>
    <mergeCell ref="A344:B345"/>
    <mergeCell ref="A346:M346"/>
    <mergeCell ref="O346:V346"/>
    <mergeCell ref="A323:J323"/>
    <mergeCell ref="O324:P324"/>
    <mergeCell ref="Q324:R324"/>
    <mergeCell ref="L330:L331"/>
    <mergeCell ref="M330:M331"/>
    <mergeCell ref="A332:N332"/>
    <mergeCell ref="O347:O348"/>
    <mergeCell ref="P347:P348"/>
    <mergeCell ref="Q347:Q348"/>
    <mergeCell ref="T347:T348"/>
    <mergeCell ref="G348:G351"/>
    <mergeCell ref="I348:I351"/>
    <mergeCell ref="K350:K351"/>
    <mergeCell ref="L350:L351"/>
    <mergeCell ref="M350:M351"/>
    <mergeCell ref="N350:N351"/>
    <mergeCell ref="AD355:AG355"/>
    <mergeCell ref="AH355:AH356"/>
    <mergeCell ref="A361:J361"/>
    <mergeCell ref="O362:P362"/>
    <mergeCell ref="Q362:R362"/>
    <mergeCell ref="A353:A355"/>
    <mergeCell ref="B353:E355"/>
    <mergeCell ref="G355:K355"/>
    <mergeCell ref="L355:P355"/>
    <mergeCell ref="Q355:U355"/>
    <mergeCell ref="V355:Z355"/>
    <mergeCell ref="L368:L369"/>
    <mergeCell ref="M368:M369"/>
    <mergeCell ref="A370:N370"/>
    <mergeCell ref="Q376:R377"/>
    <mergeCell ref="S376:T377"/>
    <mergeCell ref="O381:P381"/>
    <mergeCell ref="Q381:R381"/>
    <mergeCell ref="AA355:AB355"/>
    <mergeCell ref="AC355:AC356"/>
    <mergeCell ref="A391:A393"/>
    <mergeCell ref="B391:E393"/>
    <mergeCell ref="G393:K393"/>
    <mergeCell ref="L393:P393"/>
    <mergeCell ref="A382:B383"/>
    <mergeCell ref="A384:M384"/>
    <mergeCell ref="O384:V384"/>
    <mergeCell ref="O385:O386"/>
    <mergeCell ref="P385:P386"/>
    <mergeCell ref="Q385:Q386"/>
    <mergeCell ref="T385:T386"/>
    <mergeCell ref="G386:G389"/>
    <mergeCell ref="I386:I389"/>
    <mergeCell ref="K388:K389"/>
    <mergeCell ref="Q393:U393"/>
    <mergeCell ref="V393:Z393"/>
    <mergeCell ref="AA393:AB393"/>
    <mergeCell ref="AC393:AC394"/>
    <mergeCell ref="AD393:AG393"/>
    <mergeCell ref="AH393:AH394"/>
    <mergeCell ref="L388:L389"/>
    <mergeCell ref="M388:M389"/>
    <mergeCell ref="N388:N389"/>
    <mergeCell ref="Q414:R415"/>
    <mergeCell ref="S414:T415"/>
    <mergeCell ref="O419:P419"/>
    <mergeCell ref="Q419:R419"/>
    <mergeCell ref="A420:B421"/>
    <mergeCell ref="A422:M422"/>
    <mergeCell ref="O422:V422"/>
    <mergeCell ref="A399:J399"/>
    <mergeCell ref="O400:P400"/>
    <mergeCell ref="Q400:R400"/>
    <mergeCell ref="L406:L407"/>
    <mergeCell ref="M406:M407"/>
    <mergeCell ref="A408:N408"/>
    <mergeCell ref="O423:O424"/>
    <mergeCell ref="P423:P424"/>
    <mergeCell ref="Q423:Q424"/>
    <mergeCell ref="T423:T424"/>
    <mergeCell ref="G424:G427"/>
    <mergeCell ref="I424:I427"/>
    <mergeCell ref="K426:K427"/>
    <mergeCell ref="L426:L427"/>
    <mergeCell ref="M426:M427"/>
    <mergeCell ref="N426:N427"/>
    <mergeCell ref="AD431:AG431"/>
    <mergeCell ref="AH431:AH432"/>
    <mergeCell ref="A437:J437"/>
    <mergeCell ref="O438:P438"/>
    <mergeCell ref="Q438:R438"/>
    <mergeCell ref="A429:A431"/>
    <mergeCell ref="B429:E431"/>
    <mergeCell ref="G431:K431"/>
    <mergeCell ref="L431:P431"/>
    <mergeCell ref="Q431:U431"/>
    <mergeCell ref="V431:Z431"/>
    <mergeCell ref="L444:L445"/>
    <mergeCell ref="M444:M445"/>
    <mergeCell ref="A446:N446"/>
    <mergeCell ref="Q452:R453"/>
    <mergeCell ref="S452:T453"/>
    <mergeCell ref="O457:P457"/>
    <mergeCell ref="Q457:R457"/>
    <mergeCell ref="AA431:AB431"/>
    <mergeCell ref="AC431:AC432"/>
    <mergeCell ref="A467:A469"/>
    <mergeCell ref="B467:E469"/>
    <mergeCell ref="G469:K469"/>
    <mergeCell ref="L469:P469"/>
    <mergeCell ref="A458:B459"/>
    <mergeCell ref="A460:M460"/>
    <mergeCell ref="O460:V460"/>
    <mergeCell ref="O461:O462"/>
    <mergeCell ref="P461:P462"/>
    <mergeCell ref="Q461:Q462"/>
    <mergeCell ref="T461:T462"/>
    <mergeCell ref="G462:G465"/>
    <mergeCell ref="I462:I465"/>
    <mergeCell ref="K464:K465"/>
    <mergeCell ref="Q469:U469"/>
    <mergeCell ref="V469:Z469"/>
    <mergeCell ref="AA469:AB469"/>
    <mergeCell ref="AC469:AC470"/>
    <mergeCell ref="AD469:AG469"/>
    <mergeCell ref="AH469:AH470"/>
    <mergeCell ref="L464:L465"/>
    <mergeCell ref="M464:M465"/>
    <mergeCell ref="N464:N465"/>
    <mergeCell ref="Q490:R491"/>
    <mergeCell ref="S490:T491"/>
    <mergeCell ref="O495:P495"/>
    <mergeCell ref="Q495:R495"/>
    <mergeCell ref="A496:B497"/>
    <mergeCell ref="A498:M498"/>
    <mergeCell ref="O498:V498"/>
    <mergeCell ref="A475:J475"/>
    <mergeCell ref="O476:P476"/>
    <mergeCell ref="Q476:R476"/>
    <mergeCell ref="L482:L483"/>
    <mergeCell ref="M482:M483"/>
    <mergeCell ref="A484:N484"/>
    <mergeCell ref="O499:O500"/>
    <mergeCell ref="P499:P500"/>
    <mergeCell ref="Q499:Q500"/>
    <mergeCell ref="T499:T500"/>
    <mergeCell ref="G500:G503"/>
    <mergeCell ref="I500:I503"/>
    <mergeCell ref="K502:K503"/>
    <mergeCell ref="L502:L503"/>
    <mergeCell ref="M502:M503"/>
    <mergeCell ref="N502:N503"/>
    <mergeCell ref="AD507:AG507"/>
    <mergeCell ref="AH507:AH508"/>
    <mergeCell ref="A513:J513"/>
    <mergeCell ref="O514:P514"/>
    <mergeCell ref="Q514:R514"/>
    <mergeCell ref="A505:A507"/>
    <mergeCell ref="B505:E507"/>
    <mergeCell ref="G507:K507"/>
    <mergeCell ref="L507:P507"/>
    <mergeCell ref="Q507:U507"/>
    <mergeCell ref="V507:Z507"/>
    <mergeCell ref="L520:L521"/>
    <mergeCell ref="M520:M521"/>
    <mergeCell ref="A522:N522"/>
    <mergeCell ref="Q528:R529"/>
    <mergeCell ref="S528:T529"/>
    <mergeCell ref="O533:P533"/>
    <mergeCell ref="Q533:R533"/>
    <mergeCell ref="AA507:AB507"/>
    <mergeCell ref="AC507:AC508"/>
    <mergeCell ref="A543:A545"/>
    <mergeCell ref="B543:E545"/>
    <mergeCell ref="G545:K545"/>
    <mergeCell ref="L545:P545"/>
    <mergeCell ref="A534:B535"/>
    <mergeCell ref="A536:M536"/>
    <mergeCell ref="O536:V536"/>
    <mergeCell ref="O537:O538"/>
    <mergeCell ref="P537:P538"/>
    <mergeCell ref="Q537:Q538"/>
    <mergeCell ref="T537:T538"/>
    <mergeCell ref="G538:G541"/>
    <mergeCell ref="I538:I541"/>
    <mergeCell ref="K540:K541"/>
    <mergeCell ref="Q545:U545"/>
    <mergeCell ref="V545:Z545"/>
    <mergeCell ref="AA545:AB545"/>
    <mergeCell ref="AC545:AC546"/>
    <mergeCell ref="AD545:AG545"/>
    <mergeCell ref="AH545:AH546"/>
    <mergeCell ref="L540:L541"/>
    <mergeCell ref="M540:M541"/>
    <mergeCell ref="N540:N541"/>
    <mergeCell ref="Q566:R567"/>
    <mergeCell ref="S566:T567"/>
    <mergeCell ref="O571:P571"/>
    <mergeCell ref="Q571:R571"/>
    <mergeCell ref="A572:B573"/>
    <mergeCell ref="A574:M574"/>
    <mergeCell ref="O574:V574"/>
    <mergeCell ref="A551:J551"/>
    <mergeCell ref="O552:P552"/>
    <mergeCell ref="Q552:R552"/>
    <mergeCell ref="L558:L559"/>
    <mergeCell ref="M558:M559"/>
    <mergeCell ref="A560:N560"/>
    <mergeCell ref="O575:O576"/>
    <mergeCell ref="P575:P576"/>
    <mergeCell ref="Q575:Q576"/>
    <mergeCell ref="T575:T576"/>
    <mergeCell ref="G576:G579"/>
    <mergeCell ref="I576:I579"/>
    <mergeCell ref="K578:K579"/>
    <mergeCell ref="L578:L579"/>
    <mergeCell ref="M578:M579"/>
    <mergeCell ref="N578:N579"/>
    <mergeCell ref="AD583:AG583"/>
    <mergeCell ref="AH583:AH584"/>
    <mergeCell ref="A589:J589"/>
    <mergeCell ref="O590:P590"/>
    <mergeCell ref="Q590:R590"/>
    <mergeCell ref="A581:A583"/>
    <mergeCell ref="B581:E583"/>
    <mergeCell ref="G583:K583"/>
    <mergeCell ref="L583:P583"/>
    <mergeCell ref="Q583:U583"/>
    <mergeCell ref="V583:Z583"/>
    <mergeCell ref="L596:L597"/>
    <mergeCell ref="M596:M597"/>
    <mergeCell ref="A598:N598"/>
    <mergeCell ref="Q604:R605"/>
    <mergeCell ref="S604:T605"/>
    <mergeCell ref="O609:P609"/>
    <mergeCell ref="Q609:R609"/>
    <mergeCell ref="AA583:AB583"/>
    <mergeCell ref="AC583:AC584"/>
    <mergeCell ref="A619:A621"/>
    <mergeCell ref="B619:E621"/>
    <mergeCell ref="G621:K621"/>
    <mergeCell ref="L621:P621"/>
    <mergeCell ref="A610:B611"/>
    <mergeCell ref="A612:M612"/>
    <mergeCell ref="O612:V612"/>
    <mergeCell ref="O613:O614"/>
    <mergeCell ref="P613:P614"/>
    <mergeCell ref="Q613:Q614"/>
    <mergeCell ref="T613:T614"/>
    <mergeCell ref="G614:G617"/>
    <mergeCell ref="I614:I617"/>
    <mergeCell ref="K616:K617"/>
    <mergeCell ref="Q621:U621"/>
    <mergeCell ref="V621:Z621"/>
    <mergeCell ref="AA621:AB621"/>
    <mergeCell ref="AC621:AC622"/>
    <mergeCell ref="AD621:AG621"/>
    <mergeCell ref="AH621:AH622"/>
    <mergeCell ref="L616:L617"/>
    <mergeCell ref="M616:M617"/>
    <mergeCell ref="N616:N617"/>
    <mergeCell ref="Q642:R643"/>
    <mergeCell ref="S642:T643"/>
    <mergeCell ref="O647:P647"/>
    <mergeCell ref="Q647:R647"/>
    <mergeCell ref="A648:B649"/>
    <mergeCell ref="A650:M650"/>
    <mergeCell ref="O650:V650"/>
    <mergeCell ref="A627:J627"/>
    <mergeCell ref="O628:P628"/>
    <mergeCell ref="Q628:R628"/>
    <mergeCell ref="L634:L635"/>
    <mergeCell ref="M634:M635"/>
    <mergeCell ref="A636:N636"/>
    <mergeCell ref="O651:O652"/>
    <mergeCell ref="P651:P652"/>
    <mergeCell ref="Q651:Q652"/>
    <mergeCell ref="T651:T652"/>
    <mergeCell ref="G652:G655"/>
    <mergeCell ref="I652:I655"/>
    <mergeCell ref="K654:K655"/>
    <mergeCell ref="L654:L655"/>
    <mergeCell ref="M654:M655"/>
    <mergeCell ref="N654:N655"/>
    <mergeCell ref="AD659:AG659"/>
    <mergeCell ref="AH659:AH660"/>
    <mergeCell ref="A665:J665"/>
    <mergeCell ref="O666:P666"/>
    <mergeCell ref="Q666:R666"/>
    <mergeCell ref="A657:A659"/>
    <mergeCell ref="B657:E659"/>
    <mergeCell ref="G659:K659"/>
    <mergeCell ref="L659:P659"/>
    <mergeCell ref="Q659:U659"/>
    <mergeCell ref="V659:Z659"/>
    <mergeCell ref="L672:L673"/>
    <mergeCell ref="M672:M673"/>
    <mergeCell ref="A674:N674"/>
    <mergeCell ref="Q680:R681"/>
    <mergeCell ref="S680:T681"/>
    <mergeCell ref="O685:P685"/>
    <mergeCell ref="Q685:R685"/>
    <mergeCell ref="AA659:AB659"/>
    <mergeCell ref="AC659:AC660"/>
    <mergeCell ref="A695:A697"/>
    <mergeCell ref="B695:E697"/>
    <mergeCell ref="G697:K697"/>
    <mergeCell ref="L697:P697"/>
    <mergeCell ref="A686:B687"/>
    <mergeCell ref="A688:M688"/>
    <mergeCell ref="O688:V688"/>
    <mergeCell ref="O689:O690"/>
    <mergeCell ref="P689:P690"/>
    <mergeCell ref="Q689:Q690"/>
    <mergeCell ref="T689:T690"/>
    <mergeCell ref="G690:G693"/>
    <mergeCell ref="I690:I693"/>
    <mergeCell ref="K692:K693"/>
    <mergeCell ref="Q697:U697"/>
    <mergeCell ref="V697:Z697"/>
    <mergeCell ref="AA697:AB697"/>
    <mergeCell ref="AC697:AC698"/>
    <mergeCell ref="AD697:AG697"/>
    <mergeCell ref="AH697:AH698"/>
    <mergeCell ref="L692:L693"/>
    <mergeCell ref="M692:M693"/>
    <mergeCell ref="N692:N693"/>
    <mergeCell ref="Q718:R719"/>
    <mergeCell ref="S718:T719"/>
    <mergeCell ref="O723:P723"/>
    <mergeCell ref="Q723:R723"/>
    <mergeCell ref="A724:B725"/>
    <mergeCell ref="A726:M726"/>
    <mergeCell ref="O726:V726"/>
    <mergeCell ref="A703:J703"/>
    <mergeCell ref="O704:P704"/>
    <mergeCell ref="Q704:R704"/>
    <mergeCell ref="L710:L711"/>
    <mergeCell ref="M710:M711"/>
    <mergeCell ref="A712:N712"/>
    <mergeCell ref="O727:O728"/>
    <mergeCell ref="P727:P728"/>
    <mergeCell ref="Q727:Q728"/>
    <mergeCell ref="T727:T728"/>
    <mergeCell ref="G728:G731"/>
    <mergeCell ref="I728:I731"/>
    <mergeCell ref="K730:K731"/>
    <mergeCell ref="L730:L731"/>
    <mergeCell ref="M730:M731"/>
    <mergeCell ref="N730:N731"/>
    <mergeCell ref="AD735:AG735"/>
    <mergeCell ref="AH735:AH736"/>
    <mergeCell ref="A741:J741"/>
    <mergeCell ref="O742:P742"/>
    <mergeCell ref="Q742:R742"/>
    <mergeCell ref="A733:A735"/>
    <mergeCell ref="B733:E735"/>
    <mergeCell ref="G735:K735"/>
    <mergeCell ref="L735:P735"/>
    <mergeCell ref="Q735:U735"/>
    <mergeCell ref="V735:Z735"/>
    <mergeCell ref="L748:L749"/>
    <mergeCell ref="M748:M749"/>
    <mergeCell ref="A750:N750"/>
    <mergeCell ref="Q756:R757"/>
    <mergeCell ref="S756:T757"/>
    <mergeCell ref="O761:P761"/>
    <mergeCell ref="Q761:R761"/>
    <mergeCell ref="AA735:AB735"/>
    <mergeCell ref="AC735:AC736"/>
    <mergeCell ref="A771:A773"/>
    <mergeCell ref="B771:E773"/>
    <mergeCell ref="G773:K773"/>
    <mergeCell ref="L773:P773"/>
    <mergeCell ref="A762:B763"/>
    <mergeCell ref="A764:M764"/>
    <mergeCell ref="O764:V764"/>
    <mergeCell ref="O765:O766"/>
    <mergeCell ref="P765:P766"/>
    <mergeCell ref="Q765:Q766"/>
    <mergeCell ref="T765:T766"/>
    <mergeCell ref="G766:G769"/>
    <mergeCell ref="I766:I769"/>
    <mergeCell ref="K768:K769"/>
    <mergeCell ref="Q773:U773"/>
    <mergeCell ref="V773:Z773"/>
    <mergeCell ref="AA773:AB773"/>
    <mergeCell ref="AC773:AC774"/>
    <mergeCell ref="AD773:AG773"/>
    <mergeCell ref="AH773:AH774"/>
    <mergeCell ref="L768:L769"/>
    <mergeCell ref="M768:M769"/>
    <mergeCell ref="N768:N769"/>
    <mergeCell ref="Q794:R795"/>
    <mergeCell ref="S794:T795"/>
    <mergeCell ref="O799:P799"/>
    <mergeCell ref="Q799:R799"/>
    <mergeCell ref="A800:B801"/>
    <mergeCell ref="A802:M802"/>
    <mergeCell ref="O802:V802"/>
    <mergeCell ref="A779:J779"/>
    <mergeCell ref="O780:P780"/>
    <mergeCell ref="Q780:R780"/>
    <mergeCell ref="L786:L787"/>
    <mergeCell ref="M786:M787"/>
    <mergeCell ref="A788:N788"/>
    <mergeCell ref="O803:O804"/>
    <mergeCell ref="P803:P804"/>
    <mergeCell ref="Q803:Q804"/>
    <mergeCell ref="T803:T804"/>
    <mergeCell ref="G804:G807"/>
    <mergeCell ref="I804:I807"/>
    <mergeCell ref="K806:K807"/>
    <mergeCell ref="L806:L807"/>
    <mergeCell ref="M806:M807"/>
    <mergeCell ref="N806:N807"/>
    <mergeCell ref="AD811:AG811"/>
    <mergeCell ref="AH811:AH812"/>
    <mergeCell ref="A817:J817"/>
    <mergeCell ref="O818:P818"/>
    <mergeCell ref="Q818:R818"/>
    <mergeCell ref="A809:A811"/>
    <mergeCell ref="B809:E811"/>
    <mergeCell ref="G811:K811"/>
    <mergeCell ref="L811:P811"/>
    <mergeCell ref="Q811:U811"/>
    <mergeCell ref="V811:Z811"/>
    <mergeCell ref="L824:L825"/>
    <mergeCell ref="M824:M825"/>
    <mergeCell ref="A826:N826"/>
    <mergeCell ref="Q832:R833"/>
    <mergeCell ref="S832:T833"/>
    <mergeCell ref="O837:P837"/>
    <mergeCell ref="Q837:R837"/>
    <mergeCell ref="AA811:AB811"/>
    <mergeCell ref="AC811:AC812"/>
    <mergeCell ref="A847:A849"/>
    <mergeCell ref="B847:E849"/>
    <mergeCell ref="G849:K849"/>
    <mergeCell ref="L849:P849"/>
    <mergeCell ref="A838:B839"/>
    <mergeCell ref="A840:M840"/>
    <mergeCell ref="O840:V840"/>
    <mergeCell ref="O841:O842"/>
    <mergeCell ref="P841:P842"/>
    <mergeCell ref="Q841:Q842"/>
    <mergeCell ref="T841:T842"/>
    <mergeCell ref="G842:G845"/>
    <mergeCell ref="I842:I845"/>
    <mergeCell ref="K844:K845"/>
    <mergeCell ref="Q849:U849"/>
    <mergeCell ref="V849:Z849"/>
    <mergeCell ref="AA849:AB849"/>
    <mergeCell ref="AC849:AC850"/>
    <mergeCell ref="AD849:AG849"/>
    <mergeCell ref="AH849:AH850"/>
    <mergeCell ref="L844:L845"/>
    <mergeCell ref="M844:M845"/>
    <mergeCell ref="N844:N845"/>
    <mergeCell ref="Q870:R871"/>
    <mergeCell ref="S870:T871"/>
    <mergeCell ref="O875:P875"/>
    <mergeCell ref="Q875:R875"/>
    <mergeCell ref="A876:B877"/>
    <mergeCell ref="A878:M878"/>
    <mergeCell ref="O878:V878"/>
    <mergeCell ref="A855:J855"/>
    <mergeCell ref="O856:P856"/>
    <mergeCell ref="Q856:R856"/>
    <mergeCell ref="L862:L863"/>
    <mergeCell ref="M862:M863"/>
    <mergeCell ref="A864:N864"/>
    <mergeCell ref="O879:O880"/>
    <mergeCell ref="P879:P880"/>
    <mergeCell ref="Q879:Q880"/>
    <mergeCell ref="T879:T880"/>
    <mergeCell ref="G880:G883"/>
    <mergeCell ref="I880:I883"/>
    <mergeCell ref="K882:K883"/>
    <mergeCell ref="L882:L883"/>
    <mergeCell ref="M882:M883"/>
    <mergeCell ref="N882:N883"/>
    <mergeCell ref="AD887:AG887"/>
    <mergeCell ref="AH887:AH888"/>
    <mergeCell ref="A893:J893"/>
    <mergeCell ref="O894:P894"/>
    <mergeCell ref="Q894:R894"/>
    <mergeCell ref="A885:A887"/>
    <mergeCell ref="B885:E887"/>
    <mergeCell ref="G887:K887"/>
    <mergeCell ref="L887:P887"/>
    <mergeCell ref="Q887:U887"/>
    <mergeCell ref="V887:Z887"/>
    <mergeCell ref="L900:L901"/>
    <mergeCell ref="M900:M901"/>
    <mergeCell ref="A902:N902"/>
    <mergeCell ref="Q908:R909"/>
    <mergeCell ref="S908:T909"/>
    <mergeCell ref="O913:P913"/>
    <mergeCell ref="Q913:R913"/>
    <mergeCell ref="AA887:AB887"/>
    <mergeCell ref="AC887:AC88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13"/>
  <sheetViews>
    <sheetView topLeftCell="A133" workbookViewId="0">
      <selection activeCell="A10" sqref="A10:K12"/>
    </sheetView>
  </sheetViews>
  <sheetFormatPr defaultRowHeight="15" x14ac:dyDescent="0.25"/>
  <cols>
    <col min="1" max="1" width="9.28515625" customWidth="1"/>
    <col min="2" max="2" width="12" bestFit="1" customWidth="1"/>
    <col min="3" max="3" width="9.85546875" customWidth="1"/>
    <col min="4" max="4" width="8.42578125" customWidth="1"/>
    <col min="5" max="6" width="12" bestFit="1" customWidth="1"/>
    <col min="7" max="7" width="11.5703125" bestFit="1" customWidth="1"/>
    <col min="8" max="8" width="12" bestFit="1" customWidth="1"/>
    <col min="9" max="9" width="16.28515625" customWidth="1"/>
    <col min="10" max="10" width="12.42578125" customWidth="1"/>
    <col min="11" max="11" width="12.5703125" bestFit="1" customWidth="1"/>
    <col min="12" max="12" width="14.42578125" customWidth="1"/>
    <col min="13" max="13" width="13.42578125" customWidth="1"/>
    <col min="14" max="16" width="12" bestFit="1" customWidth="1"/>
    <col min="17" max="17" width="12.28515625" customWidth="1"/>
    <col min="18" max="18" width="14.140625" customWidth="1"/>
    <col min="19" max="20" width="12" bestFit="1" customWidth="1"/>
    <col min="21" max="21" width="14.28515625" bestFit="1" customWidth="1"/>
    <col min="22" max="22" width="10.7109375" bestFit="1" customWidth="1"/>
    <col min="23" max="23" width="7.140625" bestFit="1" customWidth="1"/>
    <col min="24" max="28" width="12" bestFit="1" customWidth="1"/>
    <col min="29" max="29" width="10.28515625" customWidth="1"/>
    <col min="30" max="33" width="3.140625" bestFit="1" customWidth="1"/>
  </cols>
  <sheetData>
    <row r="1" spans="1:34" x14ac:dyDescent="0.25">
      <c r="A1" s="181" t="s">
        <v>93</v>
      </c>
      <c r="B1" s="182"/>
    </row>
    <row r="2" spans="1:34" ht="15.75" thickBot="1" x14ac:dyDescent="0.3">
      <c r="A2" s="183"/>
      <c r="B2" s="184"/>
    </row>
    <row r="3" spans="1:34" ht="19.5" customHeight="1" x14ac:dyDescent="0.35">
      <c r="A3" s="185" t="s">
        <v>14</v>
      </c>
      <c r="B3" s="18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O3" s="166" t="s">
        <v>72</v>
      </c>
      <c r="P3" s="166"/>
      <c r="Q3" s="166"/>
      <c r="R3" s="166"/>
      <c r="S3" s="166"/>
      <c r="T3" s="166"/>
      <c r="U3" s="166"/>
      <c r="V3" s="166"/>
    </row>
    <row r="4" spans="1:34" ht="36" x14ac:dyDescent="0.25">
      <c r="A4" s="4" t="s">
        <v>15</v>
      </c>
      <c r="B4" s="4" t="s">
        <v>16</v>
      </c>
      <c r="C4" s="4" t="s">
        <v>31</v>
      </c>
      <c r="D4" s="6" t="s">
        <v>17</v>
      </c>
      <c r="E4" s="6" t="s">
        <v>18</v>
      </c>
      <c r="F4" s="6" t="s">
        <v>19</v>
      </c>
      <c r="G4" s="6" t="s">
        <v>20</v>
      </c>
      <c r="H4" s="6" t="s">
        <v>21</v>
      </c>
      <c r="I4" s="6" t="s">
        <v>22</v>
      </c>
      <c r="J4" s="6" t="s">
        <v>23</v>
      </c>
      <c r="K4" s="6" t="s">
        <v>24</v>
      </c>
      <c r="L4" s="6" t="s">
        <v>25</v>
      </c>
      <c r="M4" s="6" t="s">
        <v>26</v>
      </c>
      <c r="N4" s="8"/>
      <c r="O4" s="167" t="s">
        <v>32</v>
      </c>
      <c r="P4" s="167" t="s">
        <v>35</v>
      </c>
      <c r="Q4" s="167" t="s">
        <v>66</v>
      </c>
      <c r="R4" s="99" t="s">
        <v>67</v>
      </c>
      <c r="S4" s="99" t="s">
        <v>68</v>
      </c>
      <c r="T4" s="167" t="s">
        <v>69</v>
      </c>
      <c r="U4" s="71" t="s">
        <v>33</v>
      </c>
      <c r="V4" s="99" t="s">
        <v>70</v>
      </c>
    </row>
    <row r="5" spans="1:34" x14ac:dyDescent="0.25">
      <c r="A5" s="3" t="s">
        <v>27</v>
      </c>
      <c r="B5" s="3">
        <v>0</v>
      </c>
      <c r="C5" s="3">
        <v>0.3</v>
      </c>
      <c r="D5" s="3">
        <v>243</v>
      </c>
      <c r="E5" s="3">
        <v>1.73</v>
      </c>
      <c r="F5" s="3">
        <v>5</v>
      </c>
      <c r="G5" s="169">
        <v>12</v>
      </c>
      <c r="H5" s="3">
        <v>1820</v>
      </c>
      <c r="I5" s="169">
        <v>19645</v>
      </c>
      <c r="J5" s="3">
        <v>20</v>
      </c>
      <c r="K5" s="3">
        <v>40</v>
      </c>
      <c r="L5" s="3">
        <v>500</v>
      </c>
      <c r="M5" s="3">
        <v>1000</v>
      </c>
      <c r="O5" s="168"/>
      <c r="P5" s="168"/>
      <c r="Q5" s="168"/>
      <c r="R5" s="72" t="s">
        <v>71</v>
      </c>
      <c r="S5" s="72" t="s">
        <v>71</v>
      </c>
      <c r="T5" s="168"/>
      <c r="U5" s="73">
        <v>500</v>
      </c>
      <c r="V5" s="3">
        <v>1.5</v>
      </c>
    </row>
    <row r="6" spans="1:34" x14ac:dyDescent="0.25">
      <c r="A6" s="3" t="s">
        <v>28</v>
      </c>
      <c r="B6" s="3">
        <v>0</v>
      </c>
      <c r="C6" s="3">
        <v>0.3</v>
      </c>
      <c r="D6" s="3">
        <v>254</v>
      </c>
      <c r="E6" s="3">
        <v>1.88</v>
      </c>
      <c r="F6" s="3">
        <v>3</v>
      </c>
      <c r="G6" s="170"/>
      <c r="H6" s="3">
        <v>2720</v>
      </c>
      <c r="I6" s="170"/>
      <c r="J6" s="5"/>
      <c r="K6" s="5"/>
      <c r="L6" s="5"/>
      <c r="M6" s="5"/>
      <c r="O6" s="74">
        <v>1</v>
      </c>
      <c r="P6" s="74">
        <v>106</v>
      </c>
      <c r="Q6" s="74">
        <v>110</v>
      </c>
      <c r="R6" s="74">
        <v>6</v>
      </c>
      <c r="S6" s="74">
        <v>5</v>
      </c>
      <c r="T6" s="74">
        <f>R6*$U$5/60+S6</f>
        <v>55</v>
      </c>
      <c r="U6" s="75"/>
    </row>
    <row r="7" spans="1:34" x14ac:dyDescent="0.25">
      <c r="A7" s="3" t="s">
        <v>29</v>
      </c>
      <c r="B7" s="3">
        <v>0</v>
      </c>
      <c r="C7" s="3">
        <v>0.3</v>
      </c>
      <c r="D7" s="3">
        <v>143</v>
      </c>
      <c r="E7" s="3">
        <v>2.4300000000000002</v>
      </c>
      <c r="F7" s="3">
        <v>8</v>
      </c>
      <c r="G7" s="170"/>
      <c r="H7" s="3">
        <v>3700</v>
      </c>
      <c r="I7" s="170"/>
      <c r="J7" s="5"/>
      <c r="K7" s="140" t="s">
        <v>73</v>
      </c>
      <c r="L7" s="141">
        <v>12</v>
      </c>
      <c r="M7" s="140" t="s">
        <v>74</v>
      </c>
      <c r="N7" s="141">
        <v>19645</v>
      </c>
      <c r="O7" s="74">
        <v>2</v>
      </c>
      <c r="P7" s="74">
        <v>76</v>
      </c>
      <c r="Q7" s="74">
        <v>40</v>
      </c>
      <c r="R7" s="74">
        <v>9</v>
      </c>
      <c r="S7" s="74">
        <v>2</v>
      </c>
      <c r="T7" s="74">
        <f t="shared" ref="T7:T9" si="0">R7*$U$5/60+S7</f>
        <v>77</v>
      </c>
      <c r="U7" s="75"/>
    </row>
    <row r="8" spans="1:34" x14ac:dyDescent="0.25">
      <c r="A8" s="3" t="s">
        <v>30</v>
      </c>
      <c r="B8" s="3">
        <v>0</v>
      </c>
      <c r="C8" s="3">
        <v>0.3</v>
      </c>
      <c r="D8" s="3">
        <v>449</v>
      </c>
      <c r="E8" s="3">
        <v>2.5299999999999998</v>
      </c>
      <c r="F8" s="3">
        <v>4</v>
      </c>
      <c r="G8" s="171"/>
      <c r="H8" s="3">
        <v>4320</v>
      </c>
      <c r="I8" s="171"/>
      <c r="J8" s="5"/>
      <c r="K8" s="140"/>
      <c r="L8" s="141"/>
      <c r="M8" s="140"/>
      <c r="N8" s="141"/>
      <c r="O8" s="74">
        <v>3</v>
      </c>
      <c r="P8" s="74">
        <v>95</v>
      </c>
      <c r="Q8" s="74">
        <v>67</v>
      </c>
      <c r="R8" s="74">
        <v>5</v>
      </c>
      <c r="S8" s="74">
        <v>4</v>
      </c>
      <c r="T8" s="74">
        <f t="shared" si="0"/>
        <v>45.666666666666664</v>
      </c>
      <c r="U8" s="75"/>
    </row>
    <row r="9" spans="1:34" ht="15.75" thickBo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O9" s="74">
        <v>4</v>
      </c>
      <c r="P9" s="74">
        <v>140</v>
      </c>
      <c r="Q9" s="94">
        <v>85</v>
      </c>
      <c r="R9" s="94">
        <v>8</v>
      </c>
      <c r="S9" s="94">
        <v>3</v>
      </c>
      <c r="T9" s="74">
        <f t="shared" si="0"/>
        <v>69.666666666666671</v>
      </c>
    </row>
    <row r="10" spans="1:34" ht="15.75" customHeight="1" x14ac:dyDescent="0.25">
      <c r="A10" s="142" t="s">
        <v>101</v>
      </c>
      <c r="B10" s="144" t="s">
        <v>107</v>
      </c>
      <c r="C10" s="144"/>
      <c r="D10" s="144"/>
      <c r="E10" s="144"/>
      <c r="F10" s="20" t="s">
        <v>27</v>
      </c>
      <c r="G10" s="20" t="s">
        <v>28</v>
      </c>
      <c r="H10" s="20" t="s">
        <v>29</v>
      </c>
      <c r="I10" s="20" t="s">
        <v>30</v>
      </c>
    </row>
    <row r="11" spans="1:34" ht="15.75" customHeight="1" thickBot="1" x14ac:dyDescent="0.3">
      <c r="A11" s="143"/>
      <c r="B11" s="145"/>
      <c r="C11" s="145"/>
      <c r="D11" s="145"/>
      <c r="E11" s="145"/>
      <c r="F11" s="20">
        <v>168</v>
      </c>
      <c r="G11" s="26">
        <v>84</v>
      </c>
      <c r="H11" s="26">
        <v>84</v>
      </c>
      <c r="I11" s="26">
        <v>252</v>
      </c>
    </row>
    <row r="12" spans="1:34" ht="15.75" customHeight="1" thickBot="1" x14ac:dyDescent="0.3">
      <c r="A12" s="143"/>
      <c r="B12" s="145"/>
      <c r="C12" s="145"/>
      <c r="D12" s="145"/>
      <c r="E12" s="145"/>
      <c r="F12" s="7"/>
      <c r="G12" s="146" t="s">
        <v>27</v>
      </c>
      <c r="H12" s="147"/>
      <c r="I12" s="147"/>
      <c r="J12" s="147"/>
      <c r="K12" s="148"/>
      <c r="L12" s="149" t="s">
        <v>28</v>
      </c>
      <c r="M12" s="150"/>
      <c r="N12" s="150"/>
      <c r="O12" s="150"/>
      <c r="P12" s="151"/>
      <c r="Q12" s="152" t="s">
        <v>29</v>
      </c>
      <c r="R12" s="153"/>
      <c r="S12" s="153"/>
      <c r="T12" s="153"/>
      <c r="U12" s="154"/>
      <c r="V12" s="155" t="s">
        <v>30</v>
      </c>
      <c r="W12" s="156"/>
      <c r="X12" s="156"/>
      <c r="Y12" s="156"/>
      <c r="Z12" s="157"/>
      <c r="AA12" s="158" t="s">
        <v>42</v>
      </c>
      <c r="AB12" s="159"/>
      <c r="AC12" s="160" t="s">
        <v>44</v>
      </c>
      <c r="AD12" s="162" t="s">
        <v>47</v>
      </c>
      <c r="AE12" s="163"/>
      <c r="AF12" s="163"/>
      <c r="AG12" s="164"/>
      <c r="AH12" s="138" t="s">
        <v>62</v>
      </c>
    </row>
    <row r="13" spans="1:34" ht="36.75" x14ac:dyDescent="0.25">
      <c r="A13" s="21" t="s">
        <v>32</v>
      </c>
      <c r="B13" s="22" t="s">
        <v>37</v>
      </c>
      <c r="C13" s="23" t="s">
        <v>33</v>
      </c>
      <c r="D13" s="22" t="s">
        <v>38</v>
      </c>
      <c r="E13" s="22" t="s">
        <v>34</v>
      </c>
      <c r="F13" s="25" t="s">
        <v>35</v>
      </c>
      <c r="G13" s="27" t="s">
        <v>39</v>
      </c>
      <c r="H13" s="10" t="s">
        <v>40</v>
      </c>
      <c r="I13" s="10" t="s">
        <v>45</v>
      </c>
      <c r="J13" s="10" t="s">
        <v>46</v>
      </c>
      <c r="K13" s="28" t="s">
        <v>41</v>
      </c>
      <c r="L13" s="30" t="s">
        <v>39</v>
      </c>
      <c r="M13" s="13" t="s">
        <v>40</v>
      </c>
      <c r="N13" s="13" t="s">
        <v>45</v>
      </c>
      <c r="O13" s="13" t="s">
        <v>46</v>
      </c>
      <c r="P13" s="31" t="s">
        <v>41</v>
      </c>
      <c r="Q13" s="33" t="s">
        <v>39</v>
      </c>
      <c r="R13" s="12" t="s">
        <v>40</v>
      </c>
      <c r="S13" s="12" t="s">
        <v>45</v>
      </c>
      <c r="T13" s="12" t="s">
        <v>46</v>
      </c>
      <c r="U13" s="34" t="s">
        <v>41</v>
      </c>
      <c r="V13" s="36" t="s">
        <v>39</v>
      </c>
      <c r="W13" s="11" t="s">
        <v>40</v>
      </c>
      <c r="X13" s="11" t="s">
        <v>45</v>
      </c>
      <c r="Y13" s="11" t="s">
        <v>46</v>
      </c>
      <c r="Z13" s="37" t="s">
        <v>41</v>
      </c>
      <c r="AA13" s="39" t="s">
        <v>41</v>
      </c>
      <c r="AB13" s="40" t="s">
        <v>43</v>
      </c>
      <c r="AC13" s="161"/>
      <c r="AD13" s="43" t="s">
        <v>27</v>
      </c>
      <c r="AE13" s="1" t="s">
        <v>28</v>
      </c>
      <c r="AF13" s="1" t="s">
        <v>29</v>
      </c>
      <c r="AG13" s="1" t="s">
        <v>30</v>
      </c>
      <c r="AH13" s="139"/>
    </row>
    <row r="14" spans="1:34" x14ac:dyDescent="0.25">
      <c r="A14" s="24">
        <v>3</v>
      </c>
      <c r="B14" s="9">
        <v>5</v>
      </c>
      <c r="C14" s="9">
        <v>500</v>
      </c>
      <c r="D14" s="9">
        <v>4</v>
      </c>
      <c r="E14" s="48">
        <f>B14*C14/60+D14</f>
        <v>45.666666666666664</v>
      </c>
      <c r="F14" s="14">
        <v>95</v>
      </c>
      <c r="G14" s="49">
        <f>B$5*(1-AD14*C$5)</f>
        <v>0</v>
      </c>
      <c r="H14" s="50">
        <f>G14+E14</f>
        <v>45.666666666666664</v>
      </c>
      <c r="I14" s="15">
        <f>(H14/D$5)^E$5</f>
        <v>5.5463587496332782E-2</v>
      </c>
      <c r="J14" s="15">
        <f>(G14/D$5)^E$5</f>
        <v>0</v>
      </c>
      <c r="K14" s="29">
        <f>1-EXP(J14-I14)</f>
        <v>5.3953529036131931E-2</v>
      </c>
      <c r="L14" s="51">
        <f>B$6*(1-AE14*C$6)</f>
        <v>0</v>
      </c>
      <c r="M14" s="52">
        <f>L14+E14</f>
        <v>45.666666666666664</v>
      </c>
      <c r="N14" s="17">
        <f>(M14/D$6)^E$6</f>
        <v>3.9715434673642101E-2</v>
      </c>
      <c r="O14" s="17">
        <f>(L14/D$6)^E$6</f>
        <v>0</v>
      </c>
      <c r="P14" s="32">
        <f>1-EXP(O14-N14)</f>
        <v>3.8937114582545562E-2</v>
      </c>
      <c r="Q14" s="53">
        <f>B$7*(1-AF14*C$7)</f>
        <v>0</v>
      </c>
      <c r="R14" s="54">
        <f>Q14+E14</f>
        <v>45.666666666666664</v>
      </c>
      <c r="S14" s="16">
        <f>(R14/D$7)^E$7</f>
        <v>6.2425173515745024E-2</v>
      </c>
      <c r="T14" s="16">
        <f>(Q14/D$7)^E$7</f>
        <v>0</v>
      </c>
      <c r="U14" s="35">
        <f>1-EXP(T14-S14)</f>
        <v>6.0516641579816954E-2</v>
      </c>
      <c r="V14" s="55">
        <f>B$8*(1-AG14*C$8)</f>
        <v>0</v>
      </c>
      <c r="W14" s="56">
        <f>V14+E14</f>
        <v>45.666666666666664</v>
      </c>
      <c r="X14" s="18">
        <f>(W14/D$8)^E$8</f>
        <v>3.0803709406480337E-3</v>
      </c>
      <c r="Y14" s="18">
        <f>(V14/D$8)^E$8</f>
        <v>0</v>
      </c>
      <c r="Z14" s="38">
        <f>1-EXP(Y14-X14)</f>
        <v>3.0756314657778283E-3</v>
      </c>
      <c r="AA14" s="41">
        <f>K14*P14*U14*Z14</f>
        <v>3.9101438569080559E-7</v>
      </c>
      <c r="AB14" s="42">
        <f>1-AA14</f>
        <v>0.99999960898561435</v>
      </c>
      <c r="AC14" s="47">
        <f>(AD14*F$5+AE14*F$6+AF14*F$7+AG14*F$8)+E14</f>
        <v>45.666666666666664</v>
      </c>
      <c r="AD14" s="43">
        <v>0</v>
      </c>
      <c r="AE14" s="1">
        <v>0</v>
      </c>
      <c r="AF14" s="1">
        <v>0</v>
      </c>
      <c r="AG14" s="1">
        <v>0</v>
      </c>
      <c r="AH14" s="44">
        <v>67</v>
      </c>
    </row>
    <row r="15" spans="1:34" x14ac:dyDescent="0.25">
      <c r="A15" s="24">
        <v>1</v>
      </c>
      <c r="B15" s="9">
        <v>6</v>
      </c>
      <c r="C15" s="9">
        <v>500</v>
      </c>
      <c r="D15" s="9">
        <v>5</v>
      </c>
      <c r="E15" s="9">
        <f t="shared" ref="E15:E17" si="1">B15*C15/60+D15</f>
        <v>55</v>
      </c>
      <c r="F15" s="14">
        <v>106</v>
      </c>
      <c r="G15" s="49">
        <f>H14*(1-AD15*C$5)</f>
        <v>45.666666666666664</v>
      </c>
      <c r="H15" s="50">
        <f>G15+E15</f>
        <v>100.66666666666666</v>
      </c>
      <c r="I15" s="15">
        <f>(H15/D$5)^E$5</f>
        <v>0.21771752434165836</v>
      </c>
      <c r="J15" s="15">
        <f>(G15/D$5)^E$5</f>
        <v>5.5463587496332782E-2</v>
      </c>
      <c r="K15" s="29">
        <f>1-EXP(J15-I15)</f>
        <v>0.14977472639881173</v>
      </c>
      <c r="L15" s="51">
        <f>M14*(1-AE15*C$6)</f>
        <v>45.666666666666664</v>
      </c>
      <c r="M15" s="52">
        <f>L15+E15</f>
        <v>100.66666666666666</v>
      </c>
      <c r="N15" s="17">
        <f>(M15/D$6)^E$6</f>
        <v>0.17552448466860393</v>
      </c>
      <c r="O15" s="17">
        <f>(L15/D$6)^E$6</f>
        <v>3.9715434673642101E-2</v>
      </c>
      <c r="P15" s="32">
        <f>1-EXP(O15-N15)</f>
        <v>0.12699068229244426</v>
      </c>
      <c r="Q15" s="53">
        <f>R14*(1-AF15*C$7)</f>
        <v>45.666666666666664</v>
      </c>
      <c r="R15" s="54">
        <f>Q15+E15</f>
        <v>100.66666666666666</v>
      </c>
      <c r="S15" s="16">
        <f>(R15/D$7)^E$7</f>
        <v>0.42613347475170693</v>
      </c>
      <c r="T15" s="16">
        <f>(Q15/D$7)^E$7</f>
        <v>6.2425173515745024E-2</v>
      </c>
      <c r="U15" s="35">
        <f>1-EXP(T15-S15)</f>
        <v>0.30490607678805748</v>
      </c>
      <c r="V15" s="55">
        <f>W14*(1-AG15*C$8)</f>
        <v>45.666666666666664</v>
      </c>
      <c r="W15" s="56">
        <f>V15+E15</f>
        <v>100.66666666666666</v>
      </c>
      <c r="X15" s="18">
        <f>(W15/D$8)^E$8</f>
        <v>2.275713304339216E-2</v>
      </c>
      <c r="Y15" s="18">
        <f>(V15/D$8)^E$8</f>
        <v>3.0803709406480337E-3</v>
      </c>
      <c r="Z15" s="38">
        <f>1-EXP(Y15-X15)</f>
        <v>1.9484438122753578E-2</v>
      </c>
      <c r="AA15" s="41">
        <f>K15*P15*U15*Z15</f>
        <v>1.1299633510053277E-4</v>
      </c>
      <c r="AB15" s="42">
        <f>1-AA15</f>
        <v>0.99988700366489947</v>
      </c>
      <c r="AC15" s="47">
        <f>AF15*F$7+E15+AC14</f>
        <v>100.66666666666666</v>
      </c>
      <c r="AD15" s="43">
        <v>0</v>
      </c>
      <c r="AE15" s="1">
        <v>0</v>
      </c>
      <c r="AF15" s="1">
        <v>0</v>
      </c>
      <c r="AG15" s="1">
        <v>0</v>
      </c>
      <c r="AH15" s="44">
        <v>110</v>
      </c>
    </row>
    <row r="16" spans="1:34" x14ac:dyDescent="0.25">
      <c r="A16" s="57">
        <v>2</v>
      </c>
      <c r="B16" s="58">
        <v>9</v>
      </c>
      <c r="C16" s="58">
        <v>500</v>
      </c>
      <c r="D16" s="58">
        <v>2</v>
      </c>
      <c r="E16" s="66">
        <f t="shared" si="1"/>
        <v>77</v>
      </c>
      <c r="F16" s="67">
        <v>76</v>
      </c>
      <c r="G16" s="68">
        <f>H15*(1-AD16*C$5)</f>
        <v>100.66666666666666</v>
      </c>
      <c r="H16" s="69">
        <f>G16+E16</f>
        <v>177.66666666666666</v>
      </c>
      <c r="I16" s="70">
        <f>(H16/D$5)^E$5</f>
        <v>0.58172730301954589</v>
      </c>
      <c r="J16" s="70">
        <f>(G16/D$5)^E$5</f>
        <v>0.21771752434165836</v>
      </c>
      <c r="K16" s="29">
        <f>1-EXP(J16-I16)</f>
        <v>0.30511560034102614</v>
      </c>
      <c r="L16" s="51">
        <f>M15*(1-AE16*C$6)</f>
        <v>70.466666666666654</v>
      </c>
      <c r="M16" s="52">
        <f>L16+E16</f>
        <v>147.46666666666664</v>
      </c>
      <c r="N16" s="17">
        <f>(M16/D$6)^E$6</f>
        <v>0.35979661759585591</v>
      </c>
      <c r="O16" s="17">
        <f>(L16/D$6)^E$6</f>
        <v>8.9768097666615101E-2</v>
      </c>
      <c r="P16" s="32">
        <f>1-EXP(O16-N16)</f>
        <v>0.23664227688185091</v>
      </c>
      <c r="Q16" s="53">
        <f>R15*(1-AF16*C$7)</f>
        <v>70.466666666666654</v>
      </c>
      <c r="R16" s="54">
        <f>Q16+E16</f>
        <v>147.46666666666664</v>
      </c>
      <c r="S16" s="16">
        <f>(R16/D$7)^E$7</f>
        <v>1.0776048006073178</v>
      </c>
      <c r="T16" s="16">
        <f>(Q16/D$7)^E$7</f>
        <v>0.17911579648738157</v>
      </c>
      <c r="U16" s="35">
        <f>1-EXP(T16-S16)</f>
        <v>0.59281555082339077</v>
      </c>
      <c r="V16" s="55">
        <f>W15*(1-AG16*C$8)</f>
        <v>100.66666666666666</v>
      </c>
      <c r="W16" s="56">
        <f>V16+E16</f>
        <v>177.66666666666666</v>
      </c>
      <c r="X16" s="18">
        <f>(W16/D$8)^E$8</f>
        <v>9.5789922449281015E-2</v>
      </c>
      <c r="Y16" s="18">
        <f>(V16/D$8)^E$8</f>
        <v>2.275713304339216E-2</v>
      </c>
      <c r="Z16" s="38">
        <f>1-EXP(Y16-X16)</f>
        <v>7.0429650533415211E-2</v>
      </c>
      <c r="AA16" s="41">
        <f>K16*P16*U16*Z16</f>
        <v>3.0146150968935448E-3</v>
      </c>
      <c r="AB16" s="42">
        <f>1-AA16</f>
        <v>0.99698538490310651</v>
      </c>
      <c r="AC16" s="47">
        <f>(AF16*F$7)+E16+AC15</f>
        <v>185.66666666666666</v>
      </c>
      <c r="AD16" s="77">
        <v>0</v>
      </c>
      <c r="AE16" s="78">
        <v>1</v>
      </c>
      <c r="AF16" s="78">
        <v>1</v>
      </c>
      <c r="AG16" s="78">
        <v>0</v>
      </c>
      <c r="AH16" s="79">
        <v>40</v>
      </c>
    </row>
    <row r="17" spans="1:34" ht="15.75" thickBot="1" x14ac:dyDescent="0.3">
      <c r="A17" s="76">
        <v>4</v>
      </c>
      <c r="B17" s="58">
        <v>8</v>
      </c>
      <c r="C17" s="58">
        <v>500</v>
      </c>
      <c r="D17" s="58">
        <v>3</v>
      </c>
      <c r="E17" s="66">
        <f t="shared" si="1"/>
        <v>69.666666666666671</v>
      </c>
      <c r="F17" s="67">
        <v>140</v>
      </c>
      <c r="G17" s="68">
        <f>H16*(1-AD17*C$5)</f>
        <v>124.36666666666665</v>
      </c>
      <c r="H17" s="69">
        <f>G17+E17</f>
        <v>194.0333333333333</v>
      </c>
      <c r="I17" s="70">
        <f>(H17/D$5)^E$5</f>
        <v>0.67752796083510003</v>
      </c>
      <c r="J17" s="70">
        <f>(G17/D$5)^E$5</f>
        <v>0.31386223054487455</v>
      </c>
      <c r="K17" s="29">
        <f>1-EXP(J17-I17)</f>
        <v>0.30487648535250744</v>
      </c>
      <c r="L17" s="51">
        <f>M16*(1-AE17*C$6)</f>
        <v>103.22666666666665</v>
      </c>
      <c r="M17" s="52">
        <f>L17+E17</f>
        <v>172.89333333333332</v>
      </c>
      <c r="N17" s="17">
        <f>(M17/D$6)^E$6</f>
        <v>0.48521667557272297</v>
      </c>
      <c r="O17" s="17">
        <f>(L17/D$6)^E$6</f>
        <v>0.18400998566919444</v>
      </c>
      <c r="P17" s="32">
        <f>1-EXP(O17-N17)</f>
        <v>0.26007517804950775</v>
      </c>
      <c r="Q17" s="53">
        <f>R16*(1-AF17*C$7)</f>
        <v>103.22666666666665</v>
      </c>
      <c r="R17" s="54">
        <f>Q17+E17</f>
        <v>172.89333333333332</v>
      </c>
      <c r="S17" s="16">
        <f>(R17/D$7)^E$7</f>
        <v>1.5861146273855486</v>
      </c>
      <c r="T17" s="16">
        <f>(Q17/D$7)^E$7</f>
        <v>0.45294738291064662</v>
      </c>
      <c r="U17" s="35">
        <f>1-EXP(T17-S17)</f>
        <v>0.67798825033960464</v>
      </c>
      <c r="V17" s="55">
        <f>W16*(1-AG17*C$8)</f>
        <v>177.66666666666666</v>
      </c>
      <c r="W17" s="56">
        <f>V17+E17</f>
        <v>247.33333333333331</v>
      </c>
      <c r="X17" s="18">
        <f>(W17/D$8)^E$8</f>
        <v>0.221218713919872</v>
      </c>
      <c r="Y17" s="18">
        <f>(V17/D$8)^E$8</f>
        <v>9.5789922449281015E-2</v>
      </c>
      <c r="Z17" s="38">
        <f>1-EXP(Y17-X17)</f>
        <v>0.11788142344277242</v>
      </c>
      <c r="AA17" s="41">
        <f>K17*P17*U17*Z17</f>
        <v>6.337097260166894E-3</v>
      </c>
      <c r="AB17" s="42">
        <f>1-AA17</f>
        <v>0.99366290273983315</v>
      </c>
      <c r="AC17" s="47">
        <f>(AF17*F$7)+E17+AC16</f>
        <v>263.33333333333331</v>
      </c>
      <c r="AD17" s="80">
        <v>1</v>
      </c>
      <c r="AE17" s="45">
        <v>1</v>
      </c>
      <c r="AF17" s="81">
        <v>1</v>
      </c>
      <c r="AG17" s="45">
        <v>0</v>
      </c>
      <c r="AH17" s="82">
        <v>85</v>
      </c>
    </row>
    <row r="18" spans="1:34" ht="18.75" x14ac:dyDescent="0.3">
      <c r="A18" s="132" t="s">
        <v>53</v>
      </c>
      <c r="B18" s="132"/>
      <c r="C18" s="132"/>
      <c r="D18" s="132"/>
      <c r="E18" s="132"/>
      <c r="F18" s="132"/>
      <c r="G18" s="132"/>
      <c r="H18" s="132"/>
      <c r="I18" s="132"/>
      <c r="J18" s="132"/>
      <c r="AG18" s="46"/>
    </row>
    <row r="19" spans="1:34" ht="15.75" x14ac:dyDescent="0.25">
      <c r="A19" s="19" t="s">
        <v>54</v>
      </c>
      <c r="B19" s="60" t="s">
        <v>49</v>
      </c>
      <c r="C19" s="61" t="s">
        <v>50</v>
      </c>
      <c r="D19" s="19" t="s">
        <v>58</v>
      </c>
      <c r="E19" s="60" t="s">
        <v>57</v>
      </c>
      <c r="F19" s="61" t="s">
        <v>50</v>
      </c>
      <c r="G19" s="19" t="s">
        <v>48</v>
      </c>
      <c r="H19" s="60" t="s">
        <v>61</v>
      </c>
      <c r="I19" s="61" t="s">
        <v>50</v>
      </c>
      <c r="J19" s="19" t="s">
        <v>82</v>
      </c>
      <c r="K19" s="83" t="s">
        <v>84</v>
      </c>
      <c r="L19" s="61" t="s">
        <v>50</v>
      </c>
      <c r="M19" s="61" t="s">
        <v>85</v>
      </c>
      <c r="O19" s="174" t="s">
        <v>64</v>
      </c>
      <c r="P19" s="174"/>
      <c r="Q19" s="175" t="s">
        <v>109</v>
      </c>
      <c r="R19" s="175"/>
    </row>
    <row r="20" spans="1:34" ht="24.75" x14ac:dyDescent="0.25">
      <c r="A20" s="61" t="s">
        <v>51</v>
      </c>
      <c r="B20" s="1">
        <f>AA14</f>
        <v>3.9101438569080559E-7</v>
      </c>
      <c r="C20" s="59">
        <f>MAX(AC14+1*L7-F14,0)</f>
        <v>0</v>
      </c>
      <c r="D20" s="62" t="s">
        <v>55</v>
      </c>
      <c r="E20" s="1">
        <f>AA14*AA15</f>
        <v>4.4183192554647236E-11</v>
      </c>
      <c r="F20" s="1">
        <f>MAX(AC15+2*L7-F15,0)</f>
        <v>18.666666666666657</v>
      </c>
      <c r="G20" s="62" t="s">
        <v>59</v>
      </c>
      <c r="H20" s="1">
        <f>AA14*AA15*AA16</f>
        <v>1.3319531930419402E-13</v>
      </c>
      <c r="I20" s="1">
        <f>AC16+3*L7-F16</f>
        <v>145.66666666666666</v>
      </c>
      <c r="J20" s="62" t="s">
        <v>83</v>
      </c>
      <c r="K20" s="1">
        <f>AA14*AA15*AA16*AA17</f>
        <v>8.4407169302966253E-16</v>
      </c>
      <c r="L20" s="1">
        <f>AC17+4*L7-F17</f>
        <v>171.33333333333331</v>
      </c>
      <c r="M20" s="1">
        <f>B20*C20*AH14+E20*F20*AH15+H20*I20*AH16+K20*L20*AH17</f>
        <v>9.1511199270110878E-8</v>
      </c>
      <c r="O20" s="1" t="s">
        <v>27</v>
      </c>
      <c r="P20" s="1">
        <f>H5</f>
        <v>1820</v>
      </c>
      <c r="Q20" s="1">
        <f>(K14*(1-P14)*(1-U14)*(1-Z14))+(P14*(1-K14)*(1-U14)*(1-Z14))+(U14*(1-K14)*(1-P14)*(1-Z14))+(Z14*(1-K14)*(1-P14)*(1-U14))</f>
        <v>0.1405459062810282</v>
      </c>
      <c r="R20" s="1">
        <f>Q20*(L$7*(J$5*K$5+L$5)+I$5)</f>
        <v>4953.5404668748388</v>
      </c>
    </row>
    <row r="21" spans="1:34" ht="24.75" x14ac:dyDescent="0.25">
      <c r="A21" s="62" t="s">
        <v>52</v>
      </c>
      <c r="B21" s="1">
        <f>AB14</f>
        <v>0.99999960898561435</v>
      </c>
      <c r="C21" s="59">
        <f>MAX(AC14-F14,0)</f>
        <v>0</v>
      </c>
      <c r="D21" s="62" t="s">
        <v>56</v>
      </c>
      <c r="E21" s="1">
        <f>AA14*AB15+AA15*AB14</f>
        <v>1.1338726111983848E-4</v>
      </c>
      <c r="F21" s="1">
        <f>MAX(AC15+1*L7-F15,0)</f>
        <v>6.6666666666666572</v>
      </c>
      <c r="G21" s="62" t="s">
        <v>60</v>
      </c>
      <c r="H21" s="1">
        <f>AA14*AA15*AB16+AA15*AA16*AB14+AA14*AA16*AB15</f>
        <v>3.4186299916451089E-7</v>
      </c>
      <c r="I21" s="1">
        <f>AC16+2*L7-F16</f>
        <v>133.66666666666666</v>
      </c>
      <c r="J21" s="62" t="s">
        <v>59</v>
      </c>
      <c r="K21">
        <f>AB14*AA15*AA16*AA17+AB15*AA14*AA16*AA17*+AB16*AA14*AA15*AA17+AB17*AA14*AA15*AA16</f>
        <v>2.158803218290692E-9</v>
      </c>
      <c r="L21" s="1">
        <f>AC17+3*L7-F17</f>
        <v>159.33333333333331</v>
      </c>
      <c r="M21" s="1">
        <f>B21*C21*AH14+E21*F21*AH15+H21*I21*AH16+K21*L21*AH17</f>
        <v>8.500772304833408E-2</v>
      </c>
      <c r="O21" s="1" t="s">
        <v>28</v>
      </c>
      <c r="P21" s="1">
        <f>2*H6</f>
        <v>5440</v>
      </c>
      <c r="Q21" s="1">
        <f t="shared" ref="Q21:Q23" si="2">(K15*(1-P15)*(1-U15)*(1-Z15))+(P15*(1-K15)*(1-U15)*(1-Z15))+(U15*(1-K15)*(1-P15)*(1-Z15))+(Z15*(1-K15)*(1-P15)*(1-U15))</f>
        <v>0.39466439887986882</v>
      </c>
      <c r="R21" s="1">
        <f t="shared" ref="R21:R23" si="3">Q21*(L$7*(J$5*K$5+L$5)+I$5)</f>
        <v>13909.946738520977</v>
      </c>
    </row>
    <row r="22" spans="1:34" ht="24.75" x14ac:dyDescent="0.25">
      <c r="A22" s="1"/>
      <c r="B22" s="1"/>
      <c r="C22" s="1"/>
      <c r="D22" s="62" t="s">
        <v>52</v>
      </c>
      <c r="E22" s="1">
        <f>AB14*AB15</f>
        <v>0.99988661269469703</v>
      </c>
      <c r="F22" s="59">
        <f>MAX(AC15-F15,0)</f>
        <v>0</v>
      </c>
      <c r="G22" s="62" t="s">
        <v>56</v>
      </c>
      <c r="H22" s="1">
        <f>AA14*AB15*AB16+AA15*AB14*AB16*+AA16*AB14*AB15</f>
        <v>7.2936649499981902E-7</v>
      </c>
      <c r="I22" s="1">
        <f>AC16+1*L7-F16</f>
        <v>121.66666666666666</v>
      </c>
      <c r="J22" s="62" t="s">
        <v>60</v>
      </c>
      <c r="K22" s="1">
        <f>AA14*AA15*AB16*AB17 + AA14*AA16*AB15*AB17 + AA14*AA17*AB15*AB16 + AA15*AA16*AB14*AB17 + AA15*AA17*AB14*AB16 + AA16*AA17*AB14*AB15</f>
        <v>2.0157819472154797E-5</v>
      </c>
      <c r="L22" s="1">
        <f>AC17+2*L7-F17</f>
        <v>147.33333333333331</v>
      </c>
      <c r="M22" s="1">
        <f>B22*C22*AH14+E22*F22*AH15+H22*I22*AH16+K22*L22*AH17</f>
        <v>0.25599267613195098</v>
      </c>
      <c r="O22" s="1" t="s">
        <v>29</v>
      </c>
      <c r="P22" s="1">
        <f>2*(F7*(J5*K5+L5)+H7)</f>
        <v>28200</v>
      </c>
      <c r="Q22" s="1">
        <f t="shared" si="2"/>
        <v>0.45792137329650145</v>
      </c>
      <c r="R22" s="1">
        <f t="shared" si="3"/>
        <v>16139.438801835195</v>
      </c>
    </row>
    <row r="23" spans="1:34" ht="24.75" x14ac:dyDescent="0.25">
      <c r="A23" s="1"/>
      <c r="B23" s="1"/>
      <c r="C23" s="1"/>
      <c r="D23" s="1"/>
      <c r="E23" s="1"/>
      <c r="F23" s="1"/>
      <c r="G23" s="62" t="s">
        <v>52</v>
      </c>
      <c r="H23" s="1">
        <f>AB14*AB15*AB16</f>
        <v>0.99687233941688591</v>
      </c>
      <c r="I23" s="63">
        <f>AC16-F16</f>
        <v>109.66666666666666</v>
      </c>
      <c r="J23" s="62" t="s">
        <v>56</v>
      </c>
      <c r="K23" s="1">
        <f>AA14*AB15*AB16*AB17+AA15*AB14*AB16*AB17+AA16*AB14*AB15*AB17+AA17*AB14*AB15*AB16</f>
        <v>9.424777567944697E-3</v>
      </c>
      <c r="L23" s="1">
        <f>AC17+1*L7-F17</f>
        <v>135.33333333333331</v>
      </c>
      <c r="M23" s="1">
        <f>B23*C23*AH14+E23*F23*AH15+H23*I23*AH16+K23*L23*AH17</f>
        <v>4481.3630201986634</v>
      </c>
      <c r="O23" s="1" t="s">
        <v>30</v>
      </c>
      <c r="P23" s="1">
        <v>0</v>
      </c>
      <c r="Q23" s="1">
        <f t="shared" si="2"/>
        <v>0.44256312121886349</v>
      </c>
      <c r="R23" s="1">
        <f t="shared" si="3"/>
        <v>15598.137207358843</v>
      </c>
    </row>
    <row r="24" spans="1:34" ht="30" x14ac:dyDescent="0.25">
      <c r="I24" s="84"/>
      <c r="J24" s="62" t="s">
        <v>52</v>
      </c>
      <c r="K24" s="85">
        <f>AB14*AB15*AB16*AB17</f>
        <v>0.99055506244603109</v>
      </c>
      <c r="L24" s="1">
        <f>AC17+0*L7-F17</f>
        <v>123.33333333333331</v>
      </c>
      <c r="M24" s="1">
        <f>B24*C24*AH14+E24*F24*AH15+H24*I24*AH16+K24*L24*AH17</f>
        <v>10384.318904642558</v>
      </c>
      <c r="O24" s="64" t="s">
        <v>65</v>
      </c>
      <c r="P24" s="65">
        <f>SUM(P20:P23)</f>
        <v>35460</v>
      </c>
      <c r="Q24" s="96" t="s">
        <v>108</v>
      </c>
      <c r="R24" s="97">
        <f>SUM(R20:R23)</f>
        <v>50601.063214589856</v>
      </c>
    </row>
    <row r="25" spans="1:34" x14ac:dyDescent="0.25">
      <c r="L25" s="176" t="s">
        <v>63</v>
      </c>
      <c r="M25" s="177">
        <f>SUM(M20:M24)</f>
        <v>14866.022925331912</v>
      </c>
    </row>
    <row r="26" spans="1:34" x14ac:dyDescent="0.25">
      <c r="L26" s="176"/>
      <c r="M26" s="177"/>
    </row>
    <row r="27" spans="1:34" x14ac:dyDescent="0.25">
      <c r="A27" s="178" t="s">
        <v>90</v>
      </c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</row>
    <row r="28" spans="1:34" ht="15.75" x14ac:dyDescent="0.25">
      <c r="A28" s="87" t="s">
        <v>76</v>
      </c>
      <c r="B28" s="62" t="s">
        <v>49</v>
      </c>
      <c r="C28" s="90" t="s">
        <v>102</v>
      </c>
      <c r="D28" s="62" t="s">
        <v>88</v>
      </c>
      <c r="E28" s="87" t="s">
        <v>77</v>
      </c>
      <c r="F28" s="62" t="s">
        <v>57</v>
      </c>
      <c r="G28" s="90" t="s">
        <v>78</v>
      </c>
      <c r="H28" s="62" t="s">
        <v>88</v>
      </c>
      <c r="I28" s="87" t="s">
        <v>75</v>
      </c>
      <c r="J28" s="62" t="s">
        <v>61</v>
      </c>
      <c r="K28" s="90" t="s">
        <v>87</v>
      </c>
      <c r="L28" s="62" t="s">
        <v>88</v>
      </c>
      <c r="M28" s="87" t="s">
        <v>86</v>
      </c>
      <c r="N28" s="62" t="s">
        <v>84</v>
      </c>
      <c r="O28" s="90" t="s">
        <v>103</v>
      </c>
      <c r="P28" s="62" t="s">
        <v>88</v>
      </c>
    </row>
    <row r="29" spans="1:34" ht="24.75" x14ac:dyDescent="0.25">
      <c r="A29" s="62" t="s">
        <v>51</v>
      </c>
      <c r="B29" s="86">
        <v>3.9101438569080559E-7</v>
      </c>
      <c r="C29" s="86">
        <f>AC14+1*L7</f>
        <v>57.666666666666664</v>
      </c>
      <c r="D29" s="86">
        <f>MAX(B29*1.5*((C29-F14)*500/2),0)</f>
        <v>0</v>
      </c>
      <c r="E29" s="62" t="s">
        <v>55</v>
      </c>
      <c r="F29" s="86">
        <v>4.4183192554647236E-11</v>
      </c>
      <c r="G29" s="86">
        <f>AC15+2*L7</f>
        <v>124.66666666666666</v>
      </c>
      <c r="H29" s="86">
        <f>F29*1.5*((G29-F15)*500/2+(G29-F16)*500)</f>
        <v>1.9219688761271546E-6</v>
      </c>
      <c r="I29" s="62" t="s">
        <v>59</v>
      </c>
      <c r="J29" s="86">
        <v>1.3319531930419402E-13</v>
      </c>
      <c r="K29" s="86">
        <f>AC16+3*L7</f>
        <v>221.66666666666666</v>
      </c>
      <c r="L29" s="86">
        <f>J29*1.5*((K29-G29)*500/2+(K29-F17)*500)</f>
        <v>1.300319304707194E-8</v>
      </c>
      <c r="M29" s="62" t="s">
        <v>83</v>
      </c>
      <c r="N29" s="86">
        <v>8.4407169302966253E-16</v>
      </c>
      <c r="O29" s="86">
        <f>AC17+4*L7</f>
        <v>311.33333333333331</v>
      </c>
      <c r="P29" s="86">
        <f>N29*1.5*((O29-K29)*500/2)</f>
        <v>2.8381910678122399E-11</v>
      </c>
    </row>
    <row r="30" spans="1:34" ht="24.75" x14ac:dyDescent="0.25">
      <c r="A30" s="62" t="s">
        <v>52</v>
      </c>
      <c r="B30" s="86">
        <v>0.99999960898561435</v>
      </c>
      <c r="C30" s="88">
        <f>AC14</f>
        <v>45.666666666666664</v>
      </c>
      <c r="D30" s="86">
        <f>MAX(B30*1.5*((C30-F14)*500/2),0)</f>
        <v>0</v>
      </c>
      <c r="E30" s="62" t="s">
        <v>56</v>
      </c>
      <c r="F30" s="86">
        <v>1.1338726111983848E-4</v>
      </c>
      <c r="G30" s="86">
        <f>AC15+1*L7</f>
        <v>112.66666666666666</v>
      </c>
      <c r="H30" s="86">
        <f>F30*1.5*((G30-F15)*500/2+(G30-F16)*500)</f>
        <v>3.4016178335951532</v>
      </c>
      <c r="I30" s="62" t="s">
        <v>60</v>
      </c>
      <c r="J30" s="86">
        <v>3.4186299916451089E-7</v>
      </c>
      <c r="K30" s="86">
        <f>AC16+2*L7</f>
        <v>209.66666666666666</v>
      </c>
      <c r="L30" s="86">
        <f>J30*1.5*((K30-G30)*500/2+(K30-F17)*500)</f>
        <v>3.0297608300954775E-2</v>
      </c>
      <c r="M30" s="62" t="s">
        <v>59</v>
      </c>
      <c r="N30" s="86">
        <v>2.158803218290692E-9</v>
      </c>
      <c r="O30" s="86">
        <f>AC17+3*L7</f>
        <v>299.33333333333331</v>
      </c>
      <c r="P30" s="86">
        <f>N30*1.5*((O30-K30)*500/2)</f>
        <v>7.2589758215024504E-5</v>
      </c>
    </row>
    <row r="31" spans="1:34" x14ac:dyDescent="0.25">
      <c r="A31" s="86"/>
      <c r="B31" s="86"/>
      <c r="C31" s="89" t="s">
        <v>89</v>
      </c>
      <c r="D31" s="89">
        <f>SUM(D29:D30)</f>
        <v>0</v>
      </c>
      <c r="E31" s="62" t="s">
        <v>52</v>
      </c>
      <c r="F31" s="86">
        <v>0.99988661269469703</v>
      </c>
      <c r="G31" s="86">
        <f>AC15+0*L7</f>
        <v>100.66666666666666</v>
      </c>
      <c r="H31" s="86">
        <f>F31*1.5*((G31-F16)*500)</f>
        <v>18497.902334851889</v>
      </c>
      <c r="I31" s="62" t="s">
        <v>56</v>
      </c>
      <c r="J31" s="86">
        <v>7.2936649499981902E-7</v>
      </c>
      <c r="K31" s="86">
        <f>AC16+1*L7</f>
        <v>197.66666666666666</v>
      </c>
      <c r="L31" s="86">
        <f>J31*1.5*((K31-G31)*500/2+(K31-F17)*500)</f>
        <v>5.8075807164360581E-2</v>
      </c>
      <c r="M31" s="62" t="s">
        <v>60</v>
      </c>
      <c r="N31" s="86">
        <v>2.0157819472154797E-5</v>
      </c>
      <c r="O31" s="86">
        <f>AC17+2*L7</f>
        <v>287.33333333333331</v>
      </c>
      <c r="P31" s="86">
        <f>N31*1.5*((O31-K31)*500/2)</f>
        <v>0.67780667975120501</v>
      </c>
    </row>
    <row r="32" spans="1:34" x14ac:dyDescent="0.25">
      <c r="A32" s="86"/>
      <c r="B32" s="86"/>
      <c r="C32" s="86"/>
      <c r="D32" s="86"/>
      <c r="E32" s="86"/>
      <c r="F32" s="86"/>
      <c r="G32" s="89" t="s">
        <v>79</v>
      </c>
      <c r="H32" s="89">
        <f>SUM(H29:H31)</f>
        <v>18501.303954607454</v>
      </c>
      <c r="I32" s="62" t="s">
        <v>52</v>
      </c>
      <c r="J32" s="86">
        <v>0.99687233941688591</v>
      </c>
      <c r="K32" s="86">
        <f>AC16+0*L7</f>
        <v>185.66666666666666</v>
      </c>
      <c r="L32" s="86">
        <f>J32*1.5*((K32-G31)*500/2+(K32-F17)*500)</f>
        <v>65918.183443941569</v>
      </c>
      <c r="M32" s="62" t="s">
        <v>56</v>
      </c>
      <c r="N32" s="86">
        <v>9.424777567944697E-3</v>
      </c>
      <c r="O32" s="86">
        <f>AC17+1*L7</f>
        <v>275.33333333333331</v>
      </c>
      <c r="P32" s="86">
        <f>N32*1.5*((O32-K32)*500/2)</f>
        <v>316.90814572214038</v>
      </c>
    </row>
    <row r="33" spans="1:22" ht="15" customHeight="1" x14ac:dyDescent="0.25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9" t="s">
        <v>79</v>
      </c>
      <c r="L33" s="89">
        <f>SUM(L29:L32)</f>
        <v>65918.271817370041</v>
      </c>
      <c r="M33" s="62" t="s">
        <v>52</v>
      </c>
      <c r="N33" s="86">
        <v>0.99055506244603109</v>
      </c>
      <c r="O33" s="86">
        <f>AC17+0*L7</f>
        <v>263.33333333333331</v>
      </c>
      <c r="P33" s="86">
        <f>N33*1.5*((O33-K32)*500/2)</f>
        <v>28849.916193740653</v>
      </c>
      <c r="Q33" s="179" t="s">
        <v>80</v>
      </c>
      <c r="R33" s="179"/>
      <c r="S33" s="180">
        <f>D31+H32+L33+P34</f>
        <v>113587.07799070983</v>
      </c>
      <c r="T33" s="180"/>
    </row>
    <row r="34" spans="1:22" ht="15" customHeight="1" x14ac:dyDescent="0.25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9" t="s">
        <v>79</v>
      </c>
      <c r="P34" s="89">
        <f>SUM(P29:P33)</f>
        <v>29167.50221873233</v>
      </c>
      <c r="Q34" s="179"/>
      <c r="R34" s="179"/>
      <c r="S34" s="180"/>
      <c r="T34" s="180"/>
    </row>
    <row r="35" spans="1:22" x14ac:dyDescent="0.25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</row>
    <row r="36" spans="1:22" x14ac:dyDescent="0.25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</row>
    <row r="37" spans="1:22" x14ac:dyDescent="0.25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</row>
    <row r="38" spans="1:22" ht="27.75" customHeight="1" thickBot="1" x14ac:dyDescent="0.3">
      <c r="O38" s="131" t="s">
        <v>81</v>
      </c>
      <c r="P38" s="131"/>
      <c r="Q38" s="131">
        <f>(R24+P24+M25+S33)/AC17</f>
        <v>814.61074986315805</v>
      </c>
      <c r="R38" s="131"/>
    </row>
    <row r="39" spans="1:22" x14ac:dyDescent="0.25">
      <c r="A39" s="181" t="s">
        <v>94</v>
      </c>
      <c r="B39" s="182"/>
    </row>
    <row r="40" spans="1:22" ht="15.75" thickBot="1" x14ac:dyDescent="0.3">
      <c r="A40" s="183"/>
      <c r="B40" s="184"/>
    </row>
    <row r="41" spans="1:22" ht="21" x14ac:dyDescent="0.35">
      <c r="A41" s="185" t="s">
        <v>14</v>
      </c>
      <c r="B41" s="18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O41" s="166" t="s">
        <v>72</v>
      </c>
      <c r="P41" s="166"/>
      <c r="Q41" s="166"/>
      <c r="R41" s="166"/>
      <c r="S41" s="166"/>
      <c r="T41" s="166"/>
      <c r="U41" s="166"/>
      <c r="V41" s="166"/>
    </row>
    <row r="42" spans="1:22" ht="36" x14ac:dyDescent="0.25">
      <c r="A42" s="4" t="s">
        <v>15</v>
      </c>
      <c r="B42" s="4" t="s">
        <v>16</v>
      </c>
      <c r="C42" s="4" t="s">
        <v>31</v>
      </c>
      <c r="D42" s="6" t="s">
        <v>17</v>
      </c>
      <c r="E42" s="6" t="s">
        <v>18</v>
      </c>
      <c r="F42" s="6" t="s">
        <v>19</v>
      </c>
      <c r="G42" s="6" t="s">
        <v>20</v>
      </c>
      <c r="H42" s="6" t="s">
        <v>21</v>
      </c>
      <c r="I42" s="6" t="s">
        <v>22</v>
      </c>
      <c r="J42" s="6" t="s">
        <v>23</v>
      </c>
      <c r="K42" s="6" t="s">
        <v>24</v>
      </c>
      <c r="L42" s="6" t="s">
        <v>25</v>
      </c>
      <c r="M42" s="6" t="s">
        <v>26</v>
      </c>
      <c r="N42" s="8"/>
      <c r="O42" s="167" t="s">
        <v>32</v>
      </c>
      <c r="P42" s="167" t="s">
        <v>35</v>
      </c>
      <c r="Q42" s="167" t="s">
        <v>66</v>
      </c>
      <c r="R42" s="99" t="s">
        <v>67</v>
      </c>
      <c r="S42" s="99" t="s">
        <v>68</v>
      </c>
      <c r="T42" s="167" t="s">
        <v>69</v>
      </c>
      <c r="U42" s="71" t="s">
        <v>33</v>
      </c>
      <c r="V42" s="99" t="s">
        <v>70</v>
      </c>
    </row>
    <row r="43" spans="1:22" x14ac:dyDescent="0.25">
      <c r="A43" s="3" t="s">
        <v>27</v>
      </c>
      <c r="B43" s="3">
        <v>0</v>
      </c>
      <c r="C43" s="3">
        <v>0.3</v>
      </c>
      <c r="D43" s="3">
        <v>243</v>
      </c>
      <c r="E43" s="3">
        <v>1.73</v>
      </c>
      <c r="F43" s="3">
        <v>5</v>
      </c>
      <c r="G43" s="169">
        <v>12</v>
      </c>
      <c r="H43" s="3">
        <v>1820</v>
      </c>
      <c r="I43" s="169">
        <v>19645</v>
      </c>
      <c r="J43" s="3">
        <v>20</v>
      </c>
      <c r="K43" s="3">
        <v>40</v>
      </c>
      <c r="L43" s="3">
        <v>500</v>
      </c>
      <c r="M43" s="3">
        <v>1000</v>
      </c>
      <c r="O43" s="168"/>
      <c r="P43" s="168"/>
      <c r="Q43" s="168"/>
      <c r="R43" s="72" t="s">
        <v>71</v>
      </c>
      <c r="S43" s="72" t="s">
        <v>71</v>
      </c>
      <c r="T43" s="168"/>
      <c r="U43" s="73">
        <v>500</v>
      </c>
      <c r="V43" s="3">
        <v>1.5</v>
      </c>
    </row>
    <row r="44" spans="1:22" x14ac:dyDescent="0.25">
      <c r="A44" s="3" t="s">
        <v>28</v>
      </c>
      <c r="B44" s="3">
        <v>0</v>
      </c>
      <c r="C44" s="3">
        <v>0.3</v>
      </c>
      <c r="D44" s="3">
        <v>254</v>
      </c>
      <c r="E44" s="3">
        <v>1.88</v>
      </c>
      <c r="F44" s="3">
        <v>3</v>
      </c>
      <c r="G44" s="170"/>
      <c r="H44" s="3">
        <v>2720</v>
      </c>
      <c r="I44" s="170"/>
      <c r="J44" s="5"/>
      <c r="K44" s="5"/>
      <c r="L44" s="5"/>
      <c r="M44" s="5"/>
      <c r="O44" s="74">
        <v>1</v>
      </c>
      <c r="P44" s="74">
        <v>106</v>
      </c>
      <c r="Q44" s="74">
        <v>110</v>
      </c>
      <c r="R44" s="74">
        <v>6</v>
      </c>
      <c r="S44" s="74">
        <v>5</v>
      </c>
      <c r="T44" s="74">
        <f>R44*$U$5/60+S44</f>
        <v>55</v>
      </c>
      <c r="U44" s="75"/>
    </row>
    <row r="45" spans="1:22" x14ac:dyDescent="0.25">
      <c r="A45" s="3" t="s">
        <v>29</v>
      </c>
      <c r="B45" s="3">
        <v>0</v>
      </c>
      <c r="C45" s="3">
        <v>0.3</v>
      </c>
      <c r="D45" s="3">
        <v>143</v>
      </c>
      <c r="E45" s="3">
        <v>2.4300000000000002</v>
      </c>
      <c r="F45" s="3">
        <v>8</v>
      </c>
      <c r="G45" s="170"/>
      <c r="H45" s="3">
        <v>3700</v>
      </c>
      <c r="I45" s="170"/>
      <c r="J45" s="5"/>
      <c r="K45" s="140" t="s">
        <v>73</v>
      </c>
      <c r="L45" s="141">
        <v>12</v>
      </c>
      <c r="M45" s="140" t="s">
        <v>74</v>
      </c>
      <c r="N45" s="141">
        <v>19645</v>
      </c>
      <c r="O45" s="74">
        <v>2</v>
      </c>
      <c r="P45" s="74">
        <v>76</v>
      </c>
      <c r="Q45" s="74">
        <v>40</v>
      </c>
      <c r="R45" s="74">
        <v>9</v>
      </c>
      <c r="S45" s="74">
        <v>2</v>
      </c>
      <c r="T45" s="74">
        <f t="shared" ref="T45:T47" si="4">R45*$U$5/60+S45</f>
        <v>77</v>
      </c>
      <c r="U45" s="75"/>
    </row>
    <row r="46" spans="1:22" x14ac:dyDescent="0.25">
      <c r="A46" s="3" t="s">
        <v>30</v>
      </c>
      <c r="B46" s="3">
        <v>0</v>
      </c>
      <c r="C46" s="3">
        <v>0.3</v>
      </c>
      <c r="D46" s="3">
        <v>449</v>
      </c>
      <c r="E46" s="3">
        <v>2.5299999999999998</v>
      </c>
      <c r="F46" s="3">
        <v>4</v>
      </c>
      <c r="G46" s="171"/>
      <c r="H46" s="3">
        <v>4320</v>
      </c>
      <c r="I46" s="171"/>
      <c r="J46" s="5"/>
      <c r="K46" s="140"/>
      <c r="L46" s="141"/>
      <c r="M46" s="140"/>
      <c r="N46" s="141"/>
      <c r="O46" s="74">
        <v>3</v>
      </c>
      <c r="P46" s="74">
        <v>95</v>
      </c>
      <c r="Q46" s="74">
        <v>67</v>
      </c>
      <c r="R46" s="74">
        <v>5</v>
      </c>
      <c r="S46" s="74">
        <v>4</v>
      </c>
      <c r="T46" s="74">
        <f t="shared" si="4"/>
        <v>45.666666666666664</v>
      </c>
      <c r="U46" s="75"/>
    </row>
    <row r="47" spans="1:22" ht="15.75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O47" s="74">
        <v>4</v>
      </c>
      <c r="P47" s="74">
        <v>140</v>
      </c>
      <c r="Q47" s="94">
        <v>85</v>
      </c>
      <c r="R47" s="94">
        <v>8</v>
      </c>
      <c r="S47" s="94">
        <v>3</v>
      </c>
      <c r="T47" s="74">
        <f t="shared" si="4"/>
        <v>69.666666666666671</v>
      </c>
    </row>
    <row r="48" spans="1:22" ht="15" customHeight="1" x14ac:dyDescent="0.25">
      <c r="A48" s="142" t="s">
        <v>101</v>
      </c>
      <c r="B48" s="144" t="s">
        <v>107</v>
      </c>
      <c r="C48" s="144"/>
      <c r="D48" s="144"/>
      <c r="E48" s="144"/>
      <c r="F48" s="20" t="s">
        <v>27</v>
      </c>
      <c r="G48" s="20" t="s">
        <v>28</v>
      </c>
      <c r="H48" s="20" t="s">
        <v>29</v>
      </c>
      <c r="I48" s="20" t="s">
        <v>30</v>
      </c>
    </row>
    <row r="49" spans="1:34" ht="15.75" customHeight="1" thickBot="1" x14ac:dyDescent="0.3">
      <c r="A49" s="143"/>
      <c r="B49" s="145"/>
      <c r="C49" s="145"/>
      <c r="D49" s="145"/>
      <c r="E49" s="145"/>
      <c r="F49" s="20">
        <v>168</v>
      </c>
      <c r="G49" s="26">
        <v>84</v>
      </c>
      <c r="H49" s="26">
        <v>84</v>
      </c>
      <c r="I49" s="26">
        <v>252</v>
      </c>
    </row>
    <row r="50" spans="1:34" ht="15.75" customHeight="1" thickBot="1" x14ac:dyDescent="0.3">
      <c r="A50" s="143"/>
      <c r="B50" s="145"/>
      <c r="C50" s="145"/>
      <c r="D50" s="145"/>
      <c r="E50" s="145"/>
      <c r="F50" s="7"/>
      <c r="G50" s="146" t="s">
        <v>27</v>
      </c>
      <c r="H50" s="147"/>
      <c r="I50" s="147"/>
      <c r="J50" s="147"/>
      <c r="K50" s="148"/>
      <c r="L50" s="149" t="s">
        <v>28</v>
      </c>
      <c r="M50" s="150"/>
      <c r="N50" s="150"/>
      <c r="O50" s="150"/>
      <c r="P50" s="151"/>
      <c r="Q50" s="152" t="s">
        <v>29</v>
      </c>
      <c r="R50" s="153"/>
      <c r="S50" s="153"/>
      <c r="T50" s="153"/>
      <c r="U50" s="154"/>
      <c r="V50" s="155" t="s">
        <v>30</v>
      </c>
      <c r="W50" s="156"/>
      <c r="X50" s="156"/>
      <c r="Y50" s="156"/>
      <c r="Z50" s="157"/>
      <c r="AA50" s="158" t="s">
        <v>42</v>
      </c>
      <c r="AB50" s="159"/>
      <c r="AC50" s="160" t="s">
        <v>44</v>
      </c>
      <c r="AD50" s="162" t="s">
        <v>47</v>
      </c>
      <c r="AE50" s="163"/>
      <c r="AF50" s="163"/>
      <c r="AG50" s="164"/>
      <c r="AH50" s="138" t="s">
        <v>62</v>
      </c>
    </row>
    <row r="51" spans="1:34" ht="36.75" x14ac:dyDescent="0.25">
      <c r="A51" s="21" t="s">
        <v>32</v>
      </c>
      <c r="B51" s="22" t="s">
        <v>37</v>
      </c>
      <c r="C51" s="23" t="s">
        <v>33</v>
      </c>
      <c r="D51" s="22" t="s">
        <v>38</v>
      </c>
      <c r="E51" s="22" t="s">
        <v>34</v>
      </c>
      <c r="F51" s="25" t="s">
        <v>35</v>
      </c>
      <c r="G51" s="27" t="s">
        <v>39</v>
      </c>
      <c r="H51" s="10" t="s">
        <v>40</v>
      </c>
      <c r="I51" s="10" t="s">
        <v>45</v>
      </c>
      <c r="J51" s="10" t="s">
        <v>46</v>
      </c>
      <c r="K51" s="28" t="s">
        <v>41</v>
      </c>
      <c r="L51" s="30" t="s">
        <v>39</v>
      </c>
      <c r="M51" s="13" t="s">
        <v>40</v>
      </c>
      <c r="N51" s="13" t="s">
        <v>45</v>
      </c>
      <c r="O51" s="13" t="s">
        <v>46</v>
      </c>
      <c r="P51" s="31" t="s">
        <v>41</v>
      </c>
      <c r="Q51" s="33" t="s">
        <v>39</v>
      </c>
      <c r="R51" s="12" t="s">
        <v>40</v>
      </c>
      <c r="S51" s="12" t="s">
        <v>45</v>
      </c>
      <c r="T51" s="12" t="s">
        <v>46</v>
      </c>
      <c r="U51" s="34" t="s">
        <v>41</v>
      </c>
      <c r="V51" s="36" t="s">
        <v>39</v>
      </c>
      <c r="W51" s="11" t="s">
        <v>40</v>
      </c>
      <c r="X51" s="11" t="s">
        <v>45</v>
      </c>
      <c r="Y51" s="11" t="s">
        <v>46</v>
      </c>
      <c r="Z51" s="37" t="s">
        <v>41</v>
      </c>
      <c r="AA51" s="39" t="s">
        <v>41</v>
      </c>
      <c r="AB51" s="40" t="s">
        <v>43</v>
      </c>
      <c r="AC51" s="161"/>
      <c r="AD51" s="43" t="s">
        <v>27</v>
      </c>
      <c r="AE51" s="1" t="s">
        <v>28</v>
      </c>
      <c r="AF51" s="1" t="s">
        <v>29</v>
      </c>
      <c r="AG51" s="1" t="s">
        <v>30</v>
      </c>
      <c r="AH51" s="139"/>
    </row>
    <row r="52" spans="1:34" x14ac:dyDescent="0.25">
      <c r="A52" s="24">
        <v>3</v>
      </c>
      <c r="B52" s="9">
        <v>5</v>
      </c>
      <c r="C52" s="9">
        <v>500</v>
      </c>
      <c r="D52" s="9">
        <v>4</v>
      </c>
      <c r="E52" s="48">
        <f>B52*C52/60+D52</f>
        <v>45.666666666666664</v>
      </c>
      <c r="F52" s="14">
        <v>95</v>
      </c>
      <c r="G52" s="49">
        <f>B$5*(1-AD52*C$5)</f>
        <v>0</v>
      </c>
      <c r="H52" s="50">
        <f>G52+E52</f>
        <v>45.666666666666664</v>
      </c>
      <c r="I52" s="15">
        <f>(H52/D$5)^E$5</f>
        <v>5.5463587496332782E-2</v>
      </c>
      <c r="J52" s="15">
        <f>(G52/D$5)^E$5</f>
        <v>0</v>
      </c>
      <c r="K52" s="29">
        <f>1-EXP(J52-I52)</f>
        <v>5.3953529036131931E-2</v>
      </c>
      <c r="L52" s="51">
        <f>B$6*(1-AE52*C$6)</f>
        <v>0</v>
      </c>
      <c r="M52" s="52">
        <f>L52+E52</f>
        <v>45.666666666666664</v>
      </c>
      <c r="N52" s="17">
        <f>(M52/D$6)^E$6</f>
        <v>3.9715434673642101E-2</v>
      </c>
      <c r="O52" s="17">
        <f>(L52/D$6)^E$6</f>
        <v>0</v>
      </c>
      <c r="P52" s="32">
        <f>1-EXP(O52-N52)</f>
        <v>3.8937114582545562E-2</v>
      </c>
      <c r="Q52" s="53">
        <f>B$7*(1-AF52*C$7)</f>
        <v>0</v>
      </c>
      <c r="R52" s="54">
        <f>Q52+E52</f>
        <v>45.666666666666664</v>
      </c>
      <c r="S52" s="16">
        <f>(R52/D$7)^E$7</f>
        <v>6.2425173515745024E-2</v>
      </c>
      <c r="T52" s="16">
        <f>(Q52/D$7)^E$7</f>
        <v>0</v>
      </c>
      <c r="U52" s="35">
        <f>1-EXP(T52-S52)</f>
        <v>6.0516641579816954E-2</v>
      </c>
      <c r="V52" s="55">
        <f>B$8*(1-AG52*C$8)</f>
        <v>0</v>
      </c>
      <c r="W52" s="56">
        <f>V52+E52</f>
        <v>45.666666666666664</v>
      </c>
      <c r="X52" s="18">
        <f>(W52/D$8)^E$8</f>
        <v>3.0803709406480337E-3</v>
      </c>
      <c r="Y52" s="18">
        <f>(V52/D$8)^E$8</f>
        <v>0</v>
      </c>
      <c r="Z52" s="38">
        <f>1-EXP(Y52-X52)</f>
        <v>3.0756314657778283E-3</v>
      </c>
      <c r="AA52" s="41">
        <f>K52*P52*U52*Z52</f>
        <v>3.9101438569080559E-7</v>
      </c>
      <c r="AB52" s="42">
        <f>1-AA52</f>
        <v>0.99999960898561435</v>
      </c>
      <c r="AC52" s="47">
        <f>(AD52*F$5+AE52*F$6+AF52*F$7+AG52*F$8)+E52</f>
        <v>45.666666666666664</v>
      </c>
      <c r="AD52" s="43">
        <v>0</v>
      </c>
      <c r="AE52" s="1">
        <v>0</v>
      </c>
      <c r="AF52" s="1">
        <v>0</v>
      </c>
      <c r="AG52" s="1">
        <v>0</v>
      </c>
      <c r="AH52" s="44">
        <v>67</v>
      </c>
    </row>
    <row r="53" spans="1:34" x14ac:dyDescent="0.25">
      <c r="A53" s="24">
        <v>1</v>
      </c>
      <c r="B53" s="9">
        <v>6</v>
      </c>
      <c r="C53" s="9">
        <v>500</v>
      </c>
      <c r="D53" s="9">
        <v>5</v>
      </c>
      <c r="E53" s="9">
        <f t="shared" ref="E53:E55" si="5">B53*C53/60+D53</f>
        <v>55</v>
      </c>
      <c r="F53" s="14">
        <v>106</v>
      </c>
      <c r="G53" s="49">
        <f>H52*(1-AD53*C$5)</f>
        <v>45.666666666666664</v>
      </c>
      <c r="H53" s="50">
        <f>G53+E53</f>
        <v>100.66666666666666</v>
      </c>
      <c r="I53" s="15">
        <f>(H53/D$5)^E$5</f>
        <v>0.21771752434165836</v>
      </c>
      <c r="J53" s="15">
        <f>(G53/D$5)^E$5</f>
        <v>5.5463587496332782E-2</v>
      </c>
      <c r="K53" s="29">
        <f>1-EXP(J53-I53)</f>
        <v>0.14977472639881173</v>
      </c>
      <c r="L53" s="51">
        <f>M52*(1-AE53*C$6)</f>
        <v>45.666666666666664</v>
      </c>
      <c r="M53" s="52">
        <f>L53+E53</f>
        <v>100.66666666666666</v>
      </c>
      <c r="N53" s="17">
        <f>(M53/D$6)^E$6</f>
        <v>0.17552448466860393</v>
      </c>
      <c r="O53" s="17">
        <f>(L53/D$6)^E$6</f>
        <v>3.9715434673642101E-2</v>
      </c>
      <c r="P53" s="32">
        <f>1-EXP(O53-N53)</f>
        <v>0.12699068229244426</v>
      </c>
      <c r="Q53" s="53">
        <f>R52*(1-AF53*C$7)</f>
        <v>45.666666666666664</v>
      </c>
      <c r="R53" s="54">
        <f>Q53+E53</f>
        <v>100.66666666666666</v>
      </c>
      <c r="S53" s="16">
        <f>(R53/D$7)^E$7</f>
        <v>0.42613347475170693</v>
      </c>
      <c r="T53" s="16">
        <f>(Q53/D$7)^E$7</f>
        <v>6.2425173515745024E-2</v>
      </c>
      <c r="U53" s="35">
        <f>1-EXP(T53-S53)</f>
        <v>0.30490607678805748</v>
      </c>
      <c r="V53" s="55">
        <f>W52*(1-AG53*C$8)</f>
        <v>45.666666666666664</v>
      </c>
      <c r="W53" s="56">
        <f>V53+E53</f>
        <v>100.66666666666666</v>
      </c>
      <c r="X53" s="18">
        <f>(W53/D$8)^E$8</f>
        <v>2.275713304339216E-2</v>
      </c>
      <c r="Y53" s="18">
        <f>(V53/D$8)^E$8</f>
        <v>3.0803709406480337E-3</v>
      </c>
      <c r="Z53" s="38">
        <f>1-EXP(Y53-X53)</f>
        <v>1.9484438122753578E-2</v>
      </c>
      <c r="AA53" s="41">
        <f>K53*P53*U53*Z53</f>
        <v>1.1299633510053277E-4</v>
      </c>
      <c r="AB53" s="42">
        <f>1-AA53</f>
        <v>0.99988700366489947</v>
      </c>
      <c r="AC53" s="47">
        <f>AF53*F$7+E53+AC52</f>
        <v>100.66666666666666</v>
      </c>
      <c r="AD53" s="43">
        <v>0</v>
      </c>
      <c r="AE53" s="1">
        <v>0</v>
      </c>
      <c r="AF53" s="1">
        <v>0</v>
      </c>
      <c r="AG53" s="1">
        <v>0</v>
      </c>
      <c r="AH53" s="44">
        <v>110</v>
      </c>
    </row>
    <row r="54" spans="1:34" x14ac:dyDescent="0.25">
      <c r="A54" s="57">
        <v>4</v>
      </c>
      <c r="B54" s="58">
        <v>8</v>
      </c>
      <c r="C54" s="58">
        <v>500</v>
      </c>
      <c r="D54" s="58">
        <v>3</v>
      </c>
      <c r="E54" s="66">
        <f t="shared" si="5"/>
        <v>69.666666666666671</v>
      </c>
      <c r="F54" s="67">
        <v>140</v>
      </c>
      <c r="G54" s="68">
        <f>H53*(1-AD54*C$5)</f>
        <v>100.66666666666666</v>
      </c>
      <c r="H54" s="69">
        <f>G54+E54</f>
        <v>170.33333333333331</v>
      </c>
      <c r="I54" s="70">
        <f>(H54/D$5)^E$5</f>
        <v>0.54081600193052226</v>
      </c>
      <c r="J54" s="70">
        <f>(G54/D$5)^E$5</f>
        <v>0.21771752434165836</v>
      </c>
      <c r="K54" s="29">
        <f>1-EXP(J54-I54)</f>
        <v>0.27609743732128889</v>
      </c>
      <c r="L54" s="51">
        <f>M53*(1-AE54*C$6)</f>
        <v>70.466666666666654</v>
      </c>
      <c r="M54" s="52">
        <f>L54+E54</f>
        <v>140.13333333333333</v>
      </c>
      <c r="N54" s="17">
        <f>(M54/D$6)^E$6</f>
        <v>0.32689670548124367</v>
      </c>
      <c r="O54" s="17">
        <f>(L54/D$6)^E$6</f>
        <v>8.9768097666615101E-2</v>
      </c>
      <c r="P54" s="32">
        <f>1-EXP(O54-N54)</f>
        <v>0.21111017590303682</v>
      </c>
      <c r="Q54" s="53">
        <f>R53*(1-AF54*C$7)</f>
        <v>70.466666666666654</v>
      </c>
      <c r="R54" s="54">
        <f>Q54+E54</f>
        <v>140.13333333333333</v>
      </c>
      <c r="S54" s="16">
        <f>(R54/D$7)^E$7</f>
        <v>0.95198292505493443</v>
      </c>
      <c r="T54" s="16">
        <f>(Q54/D$7)^E$7</f>
        <v>0.17911579648738157</v>
      </c>
      <c r="U54" s="35">
        <f>1-EXP(T54-S54)</f>
        <v>0.53831254841918419</v>
      </c>
      <c r="V54" s="55">
        <f>W53*(1-AG54*C$8)</f>
        <v>100.66666666666666</v>
      </c>
      <c r="W54" s="56">
        <f>V54+E54</f>
        <v>170.33333333333331</v>
      </c>
      <c r="X54" s="18">
        <f>(W54/D$8)^E$8</f>
        <v>8.6100338756432845E-2</v>
      </c>
      <c r="Y54" s="18">
        <f>(V54/D$8)^E$8</f>
        <v>2.275713304339216E-2</v>
      </c>
      <c r="Z54" s="38">
        <f>1-EXP(Y54-X54)</f>
        <v>6.1378721782433199E-2</v>
      </c>
      <c r="AA54" s="41">
        <f>K54*P54*U54*Z54</f>
        <v>1.9258563364529546E-3</v>
      </c>
      <c r="AB54" s="42">
        <f>1-AA54</f>
        <v>0.99807414366354708</v>
      </c>
      <c r="AC54" s="47">
        <f>(AF54*F$7)+E54+AC53</f>
        <v>178.33333333333331</v>
      </c>
      <c r="AD54" s="77">
        <v>0</v>
      </c>
      <c r="AE54" s="78">
        <v>1</v>
      </c>
      <c r="AF54" s="78">
        <v>1</v>
      </c>
      <c r="AG54" s="78">
        <v>0</v>
      </c>
      <c r="AH54" s="79">
        <v>85</v>
      </c>
    </row>
    <row r="55" spans="1:34" ht="15.75" thickBot="1" x14ac:dyDescent="0.3">
      <c r="A55" s="76">
        <v>2</v>
      </c>
      <c r="B55" s="58">
        <v>9</v>
      </c>
      <c r="C55" s="58">
        <v>500</v>
      </c>
      <c r="D55" s="58">
        <v>2</v>
      </c>
      <c r="E55" s="66">
        <f t="shared" si="5"/>
        <v>77</v>
      </c>
      <c r="F55" s="67">
        <v>76</v>
      </c>
      <c r="G55" s="68">
        <f>H54*(1-AD55*C$5)</f>
        <v>119.23333333333331</v>
      </c>
      <c r="H55" s="69">
        <f>G55+E55</f>
        <v>196.23333333333329</v>
      </c>
      <c r="I55" s="70">
        <f>(H55/D$5)^E$5</f>
        <v>0.69087274166660251</v>
      </c>
      <c r="J55" s="70">
        <f>(G55/D$5)^E$5</f>
        <v>0.29178915240732917</v>
      </c>
      <c r="K55" s="29">
        <f>1-EXP(J55-I55)</f>
        <v>0.32906538391816376</v>
      </c>
      <c r="L55" s="51">
        <f>M54*(1-AE55*C$6)</f>
        <v>98.09333333333332</v>
      </c>
      <c r="M55" s="52">
        <f>L55+E55</f>
        <v>175.09333333333331</v>
      </c>
      <c r="N55" s="17">
        <f>(M55/D$6)^E$6</f>
        <v>0.49688911241375849</v>
      </c>
      <c r="O55" s="17">
        <f>(L55/D$6)^E$6</f>
        <v>0.16718405662856181</v>
      </c>
      <c r="P55" s="32">
        <f>1-EXP(O55-N55)</f>
        <v>0.28086419289859976</v>
      </c>
      <c r="Q55" s="53">
        <f>R54*(1-AF55*C$7)</f>
        <v>98.09333333333332</v>
      </c>
      <c r="R55" s="54">
        <f>Q55+E55</f>
        <v>175.09333333333331</v>
      </c>
      <c r="S55" s="16">
        <f>(R55/D$7)^E$7</f>
        <v>1.6356055775969487</v>
      </c>
      <c r="T55" s="16">
        <f>(Q55/D$7)^E$7</f>
        <v>0.40014500142931764</v>
      </c>
      <c r="U55" s="35">
        <f>1-EXP(T55-S55)</f>
        <v>0.70929915834970092</v>
      </c>
      <c r="V55" s="55">
        <f>W54*(1-AG55*C$8)</f>
        <v>170.33333333333331</v>
      </c>
      <c r="W55" s="56">
        <f>V55+E55</f>
        <v>247.33333333333331</v>
      </c>
      <c r="X55" s="18">
        <f>(W55/D$8)^E$8</f>
        <v>0.221218713919872</v>
      </c>
      <c r="Y55" s="18">
        <f>(V55/D$8)^E$8</f>
        <v>8.6100338756432845E-2</v>
      </c>
      <c r="Z55" s="38">
        <f>1-EXP(Y55-X55)</f>
        <v>0.12638750845450208</v>
      </c>
      <c r="AA55" s="41">
        <f>K55*P55*U55*Z55</f>
        <v>8.2853750260965774E-3</v>
      </c>
      <c r="AB55" s="42">
        <f>1-AA55</f>
        <v>0.99171462497390339</v>
      </c>
      <c r="AC55" s="47">
        <f>(AF55*F$7)+E55+AC54</f>
        <v>263.33333333333331</v>
      </c>
      <c r="AD55" s="80">
        <v>1</v>
      </c>
      <c r="AE55" s="45">
        <v>1</v>
      </c>
      <c r="AF55" s="81">
        <v>1</v>
      </c>
      <c r="AG55" s="45">
        <v>0</v>
      </c>
      <c r="AH55" s="82">
        <v>40</v>
      </c>
    </row>
    <row r="56" spans="1:34" ht="18.75" x14ac:dyDescent="0.3">
      <c r="A56" s="132" t="s">
        <v>53</v>
      </c>
      <c r="B56" s="132"/>
      <c r="C56" s="132"/>
      <c r="D56" s="132"/>
      <c r="E56" s="132"/>
      <c r="F56" s="132"/>
      <c r="G56" s="132"/>
      <c r="H56" s="132"/>
      <c r="I56" s="132"/>
      <c r="J56" s="132"/>
      <c r="AG56" s="46"/>
    </row>
    <row r="57" spans="1:34" ht="15.75" x14ac:dyDescent="0.25">
      <c r="A57" s="19" t="s">
        <v>54</v>
      </c>
      <c r="B57" s="60" t="s">
        <v>49</v>
      </c>
      <c r="C57" s="61" t="s">
        <v>50</v>
      </c>
      <c r="D57" s="19" t="s">
        <v>58</v>
      </c>
      <c r="E57" s="60" t="s">
        <v>57</v>
      </c>
      <c r="F57" s="61" t="s">
        <v>50</v>
      </c>
      <c r="G57" s="19" t="s">
        <v>82</v>
      </c>
      <c r="H57" s="60" t="s">
        <v>61</v>
      </c>
      <c r="I57" s="61" t="s">
        <v>50</v>
      </c>
      <c r="J57" s="19" t="s">
        <v>48</v>
      </c>
      <c r="K57" s="83" t="s">
        <v>84</v>
      </c>
      <c r="L57" s="61" t="s">
        <v>50</v>
      </c>
      <c r="M57" s="61" t="s">
        <v>85</v>
      </c>
      <c r="O57" s="174" t="s">
        <v>64</v>
      </c>
      <c r="P57" s="174"/>
      <c r="Q57" s="175" t="s">
        <v>109</v>
      </c>
      <c r="R57" s="175"/>
    </row>
    <row r="58" spans="1:34" ht="24.75" x14ac:dyDescent="0.25">
      <c r="A58" s="61" t="s">
        <v>51</v>
      </c>
      <c r="B58" s="1">
        <f>AA52</f>
        <v>3.9101438569080559E-7</v>
      </c>
      <c r="C58" s="59">
        <f>MAX(AC52+1*L45-F52,0)</f>
        <v>0</v>
      </c>
      <c r="D58" s="62" t="s">
        <v>55</v>
      </c>
      <c r="E58" s="1">
        <f>AA52*AA53</f>
        <v>4.4183192554647236E-11</v>
      </c>
      <c r="F58" s="1">
        <f>MAX(AC53+2*L45-F53,0)</f>
        <v>18.666666666666657</v>
      </c>
      <c r="G58" s="62" t="s">
        <v>59</v>
      </c>
      <c r="H58" s="1">
        <f>AA52*AA53*AA54</f>
        <v>8.5090481346088389E-14</v>
      </c>
      <c r="I58" s="1">
        <f>AC54+3*L45-F54</f>
        <v>74.333333333333314</v>
      </c>
      <c r="J58" s="62" t="s">
        <v>83</v>
      </c>
      <c r="K58" s="1">
        <f>AA52*AA53*AA54*AA55</f>
        <v>7.050065491034174E-16</v>
      </c>
      <c r="L58" s="1">
        <f>AC55+4*L45-F55</f>
        <v>235.33333333333331</v>
      </c>
      <c r="M58" s="1">
        <f>B58*C58*AH52+E58*F58*AH53+H58*I58*AH54+K58*L58*AH55</f>
        <v>9.1267088531829535E-8</v>
      </c>
      <c r="O58" s="1" t="s">
        <v>27</v>
      </c>
      <c r="P58" s="1">
        <f>H43</f>
        <v>1820</v>
      </c>
      <c r="Q58" s="1">
        <f>(K52*(1-P52)*(1-U52)*(1-Z52))+(P52*(1-K52)*(1-U52)*(1-Z52))+(U52*(1-K52)*(1-P52)*(1-Z52))+(Z52*(1-K52)*(1-P52)*(1-U52))</f>
        <v>0.1405459062810282</v>
      </c>
      <c r="R58" s="1">
        <f>Q58*(L$7*(J$5*K$5+L$5)+I$5)</f>
        <v>4953.5404668748388</v>
      </c>
    </row>
    <row r="59" spans="1:34" ht="24.75" x14ac:dyDescent="0.25">
      <c r="A59" s="62" t="s">
        <v>52</v>
      </c>
      <c r="B59" s="1">
        <f>AB52</f>
        <v>0.99999960898561435</v>
      </c>
      <c r="C59" s="59">
        <f>MAX(AC52-F52,0)</f>
        <v>0</v>
      </c>
      <c r="D59" s="62" t="s">
        <v>56</v>
      </c>
      <c r="E59" s="1">
        <f>AA52*AB53+AA53*AB52</f>
        <v>1.1338726111983848E-4</v>
      </c>
      <c r="F59" s="1">
        <f>MAX(AC53+1*L45-F53,0)</f>
        <v>6.6666666666666572</v>
      </c>
      <c r="G59" s="62" t="s">
        <v>60</v>
      </c>
      <c r="H59" s="1">
        <f>AA52*AA53*AB54+AA53*AA54*AB52+AA52*AA54*AB53</f>
        <v>2.1841167340275995E-7</v>
      </c>
      <c r="I59" s="1">
        <f>AC54+2*L45-F54</f>
        <v>62.333333333333314</v>
      </c>
      <c r="J59" s="62" t="s">
        <v>59</v>
      </c>
      <c r="K59">
        <f>AB52*AA53*AA54*AA55+AB53*AA52*AA54*AA55*+AB54*AA52*AA53*AA55+AB55*AA52*AA53*AA54</f>
        <v>1.8031031470228666E-9</v>
      </c>
      <c r="L59" s="1">
        <f>AC55+3*L45-F55</f>
        <v>223.33333333333331</v>
      </c>
      <c r="M59" s="1">
        <f>B59*C59*AH52+E59*F59*AH53+H59*I59*AH54+K59*L59*AH55</f>
        <v>8.4323983725573787E-2</v>
      </c>
      <c r="O59" s="1" t="s">
        <v>28</v>
      </c>
      <c r="P59" s="1">
        <f>2*H44</f>
        <v>5440</v>
      </c>
      <c r="Q59" s="1">
        <f t="shared" ref="Q59:Q61" si="6">(K53*(1-P53)*(1-U53)*(1-Z53))+(P53*(1-K53)*(1-U53)*(1-Z53))+(U53*(1-K53)*(1-P53)*(1-Z53))+(Z53*(1-K53)*(1-P53)*(1-U53))</f>
        <v>0.39466439887986882</v>
      </c>
      <c r="R59" s="1">
        <f t="shared" ref="R59:R61" si="7">Q59*(L$7*(J$5*K$5+L$5)+I$5)</f>
        <v>13909.946738520977</v>
      </c>
    </row>
    <row r="60" spans="1:34" ht="24.75" x14ac:dyDescent="0.25">
      <c r="A60" s="1"/>
      <c r="B60" s="1"/>
      <c r="C60" s="1"/>
      <c r="D60" s="62" t="s">
        <v>52</v>
      </c>
      <c r="E60" s="1">
        <f>AB52*AB53</f>
        <v>0.99988661269469703</v>
      </c>
      <c r="F60" s="59">
        <f>MAX(AC53-F53,0)</f>
        <v>0</v>
      </c>
      <c r="G60" s="62" t="s">
        <v>56</v>
      </c>
      <c r="H60" s="1">
        <f>AA52*AB53*AB54+AA53*AB52*AB54*+AA54*AB52*AB53</f>
        <v>6.0738815119922459E-7</v>
      </c>
      <c r="I60" s="1">
        <f>AC54+1*L45-F54</f>
        <v>50.333333333333314</v>
      </c>
      <c r="J60" s="62" t="s">
        <v>60</v>
      </c>
      <c r="K60" s="1">
        <f>AA52*AA53*AB54*AB55 + AA52*AA54*AB53*AB55 + AA52*AA55*AB53*AB54 + AA53*AA54*AB52*AB55 + AA53*AA55*AB52*AB54 + AA54*AA55*AB52*AB53</f>
        <v>1.7108881511020682E-5</v>
      </c>
      <c r="L60" s="1">
        <f>AC55+2*L45-F55</f>
        <v>211.33333333333331</v>
      </c>
      <c r="M60" s="1">
        <f>B60*C60*AH52+E60*F60*AH53+H60*I60*AH54+K60*L60*AH55</f>
        <v>0.14722568734670885</v>
      </c>
      <c r="O60" s="1" t="s">
        <v>29</v>
      </c>
      <c r="P60" s="1">
        <f>2*(F45*(J43*K43+L43)+H45)</f>
        <v>28200</v>
      </c>
      <c r="Q60" s="1">
        <f t="shared" si="6"/>
        <v>0.46534728735971026</v>
      </c>
      <c r="R60" s="1">
        <f t="shared" si="7"/>
        <v>16401.165142992988</v>
      </c>
    </row>
    <row r="61" spans="1:34" ht="24.75" x14ac:dyDescent="0.25">
      <c r="A61" s="1"/>
      <c r="B61" s="1"/>
      <c r="C61" s="1"/>
      <c r="D61" s="1"/>
      <c r="E61" s="1"/>
      <c r="F61" s="1"/>
      <c r="G61" s="62" t="s">
        <v>52</v>
      </c>
      <c r="H61" s="1">
        <f>AB52*AB53*AB54</f>
        <v>0.9979609747259045</v>
      </c>
      <c r="I61" s="63">
        <f>AC54-F54</f>
        <v>38.333333333333314</v>
      </c>
      <c r="J61" s="62" t="s">
        <v>56</v>
      </c>
      <c r="K61" s="1">
        <f>AA52*AB53*AB54*AB55+AA53*AB52*AB54*AB55+AA54*AB52*AB53*AB55+AA55*AB52*AB53*AB54</f>
        <v>1.0290395519889866E-2</v>
      </c>
      <c r="L61" s="1">
        <f>AC55+1*L45-F55</f>
        <v>199.33333333333331</v>
      </c>
      <c r="M61" s="1">
        <f>B61*C61*AH52+E61*F61*AH53+H61*I61*AH54+K61*L61*AH55</f>
        <v>3333.7382629271592</v>
      </c>
      <c r="O61" s="1" t="s">
        <v>30</v>
      </c>
      <c r="P61" s="1">
        <v>0</v>
      </c>
      <c r="Q61" s="1">
        <f t="shared" si="6"/>
        <v>0.4246597057015789</v>
      </c>
      <c r="R61" s="1">
        <f t="shared" si="7"/>
        <v>14967.131327452149</v>
      </c>
    </row>
    <row r="62" spans="1:34" ht="30" x14ac:dyDescent="0.25">
      <c r="I62" s="84"/>
      <c r="J62" s="62" t="s">
        <v>52</v>
      </c>
      <c r="K62" s="85">
        <f>AB52*AB53*AB54*AB55</f>
        <v>0.98969249378889146</v>
      </c>
      <c r="L62" s="1">
        <f>AC55+0*L45-F55</f>
        <v>187.33333333333331</v>
      </c>
      <c r="M62" s="1">
        <f>B62*C62*AH52+E62*F62*AH53+H62*I62*AH54+K62*L62*AH55</f>
        <v>7416.095753458093</v>
      </c>
      <c r="O62" s="64" t="s">
        <v>65</v>
      </c>
      <c r="P62" s="65">
        <f>SUM(P58:P61)</f>
        <v>35460</v>
      </c>
      <c r="Q62" s="96" t="s">
        <v>108</v>
      </c>
      <c r="R62" s="97">
        <f>SUM(R58:R61)</f>
        <v>50231.783675840954</v>
      </c>
    </row>
    <row r="63" spans="1:34" x14ac:dyDescent="0.25">
      <c r="L63" s="176" t="s">
        <v>63</v>
      </c>
      <c r="M63" s="177">
        <f>SUM(M58:M62)</f>
        <v>10750.065566147592</v>
      </c>
    </row>
    <row r="64" spans="1:34" x14ac:dyDescent="0.25">
      <c r="L64" s="176"/>
      <c r="M64" s="177"/>
    </row>
    <row r="65" spans="1:22" x14ac:dyDescent="0.25">
      <c r="A65" s="178" t="s">
        <v>90</v>
      </c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</row>
    <row r="66" spans="1:22" ht="15.75" x14ac:dyDescent="0.25">
      <c r="A66" s="87" t="s">
        <v>76</v>
      </c>
      <c r="B66" s="62" t="s">
        <v>49</v>
      </c>
      <c r="C66" s="90" t="s">
        <v>102</v>
      </c>
      <c r="D66" s="62" t="s">
        <v>88</v>
      </c>
      <c r="E66" s="87" t="s">
        <v>77</v>
      </c>
      <c r="F66" s="62" t="s">
        <v>57</v>
      </c>
      <c r="G66" s="90" t="s">
        <v>78</v>
      </c>
      <c r="H66" s="62" t="s">
        <v>88</v>
      </c>
      <c r="I66" s="87" t="s">
        <v>86</v>
      </c>
      <c r="J66" s="62" t="s">
        <v>61</v>
      </c>
      <c r="K66" s="90" t="s">
        <v>103</v>
      </c>
      <c r="L66" s="62" t="s">
        <v>88</v>
      </c>
      <c r="M66" s="87" t="s">
        <v>75</v>
      </c>
      <c r="N66" s="62" t="s">
        <v>84</v>
      </c>
      <c r="O66" s="90" t="s">
        <v>87</v>
      </c>
      <c r="P66" s="62" t="s">
        <v>88</v>
      </c>
    </row>
    <row r="67" spans="1:22" ht="24.75" x14ac:dyDescent="0.25">
      <c r="A67" s="62" t="s">
        <v>51</v>
      </c>
      <c r="B67" s="86">
        <v>3.9101438569080559E-7</v>
      </c>
      <c r="C67" s="86">
        <f>AC52+1*L45</f>
        <v>57.666666666666664</v>
      </c>
      <c r="D67" s="86">
        <f>MAX(B67*1.5*((C67-F52)*500/2),0)</f>
        <v>0</v>
      </c>
      <c r="E67" s="62" t="s">
        <v>55</v>
      </c>
      <c r="F67" s="86">
        <v>4.4183192554647236E-11</v>
      </c>
      <c r="G67" s="86">
        <f>AC53+2*L45</f>
        <v>124.66666666666666</v>
      </c>
      <c r="H67" s="86">
        <f>F67*1.5*((G67-F53)*500/2+(G67-F55)*500)</f>
        <v>1.9219688761271546E-6</v>
      </c>
      <c r="I67" s="62" t="s">
        <v>59</v>
      </c>
      <c r="J67" s="86">
        <v>8.5090481346088389E-14</v>
      </c>
      <c r="K67" s="86">
        <f>AC54+3*L45</f>
        <v>214.33333333333331</v>
      </c>
      <c r="L67" s="86">
        <f>J67*1.5*((K67-F54)*500/2+(K67-G67)*500)</f>
        <v>8.0942320380466577E-9</v>
      </c>
      <c r="M67" s="62" t="s">
        <v>83</v>
      </c>
      <c r="N67" s="86">
        <v>7.050065491034174E-16</v>
      </c>
      <c r="O67" s="86">
        <f>AC55+4*L45</f>
        <v>311.33333333333331</v>
      </c>
      <c r="P67" s="86">
        <f>N67*1.5*((O67-K67)*500/2)</f>
        <v>2.5644613223636804E-11</v>
      </c>
    </row>
    <row r="68" spans="1:22" ht="24.75" x14ac:dyDescent="0.25">
      <c r="A68" s="62" t="s">
        <v>52</v>
      </c>
      <c r="B68" s="86">
        <v>0.99999960898561435</v>
      </c>
      <c r="C68" s="88">
        <f>AC52</f>
        <v>45.666666666666664</v>
      </c>
      <c r="D68" s="86">
        <f>MAX(B68*1.5*((C68-F52)*500/2),0)</f>
        <v>0</v>
      </c>
      <c r="E68" s="62" t="s">
        <v>56</v>
      </c>
      <c r="F68" s="86">
        <v>1.1338726111983848E-4</v>
      </c>
      <c r="G68" s="86">
        <f>AC53+1*L45</f>
        <v>112.66666666666666</v>
      </c>
      <c r="H68" s="86">
        <f>F68*1.5*((G68-F53)*500/2+(G68-F55)*500)</f>
        <v>3.4016178335951532</v>
      </c>
      <c r="I68" s="62" t="s">
        <v>60</v>
      </c>
      <c r="J68" s="86">
        <v>2.1841167340275995E-7</v>
      </c>
      <c r="K68" s="86">
        <f>AC54+2*L45</f>
        <v>202.33333333333331</v>
      </c>
      <c r="L68" s="86">
        <f>J68*1.5*((K68-F54)*500/2+(K68-G68)*500)</f>
        <v>1.9793557902125117E-2</v>
      </c>
      <c r="M68" s="62" t="s">
        <v>59</v>
      </c>
      <c r="N68" s="86">
        <v>1.8031031470228666E-9</v>
      </c>
      <c r="O68" s="86">
        <f>AC55+3*L45</f>
        <v>299.33333333333331</v>
      </c>
      <c r="P68" s="86">
        <f>N68*1.5*((O68-K68)*500/2)</f>
        <v>6.5587876972956772E-5</v>
      </c>
    </row>
    <row r="69" spans="1:22" x14ac:dyDescent="0.25">
      <c r="A69" s="86"/>
      <c r="B69" s="86"/>
      <c r="C69" s="89" t="s">
        <v>89</v>
      </c>
      <c r="D69" s="89">
        <f>SUM(D67:D68)</f>
        <v>0</v>
      </c>
      <c r="E69" s="62" t="s">
        <v>52</v>
      </c>
      <c r="F69" s="86">
        <v>0.99988661269469703</v>
      </c>
      <c r="G69" s="86">
        <f>AC53+0*L45</f>
        <v>100.66666666666666</v>
      </c>
      <c r="H69" s="86">
        <f>F69*1.5*((G69-F55)*500)</f>
        <v>18497.902334851889</v>
      </c>
      <c r="I69" s="62" t="s">
        <v>56</v>
      </c>
      <c r="J69" s="86">
        <v>6.0738815119922459E-7</v>
      </c>
      <c r="K69" s="86">
        <f>AC54+1*L45</f>
        <v>190.33333333333331</v>
      </c>
      <c r="L69" s="86">
        <f>J69*1.5*((K69-F54)*500/2+(K69-G69)*500)</f>
        <v>5.2311304522033211E-2</v>
      </c>
      <c r="M69" s="62" t="s">
        <v>60</v>
      </c>
      <c r="N69" s="86">
        <v>1.7108881511020682E-5</v>
      </c>
      <c r="O69" s="86">
        <f>AC55+2*L45</f>
        <v>287.33333333333331</v>
      </c>
      <c r="P69" s="86">
        <f>N69*1.5*((O69-K69)*500/2)</f>
        <v>0.62233556496337727</v>
      </c>
    </row>
    <row r="70" spans="1:22" x14ac:dyDescent="0.25">
      <c r="A70" s="86"/>
      <c r="B70" s="86"/>
      <c r="C70" s="86"/>
      <c r="D70" s="86"/>
      <c r="E70" s="86"/>
      <c r="F70" s="86"/>
      <c r="G70" s="89" t="s">
        <v>79</v>
      </c>
      <c r="H70" s="89">
        <f>SUM(H67:H69)</f>
        <v>18501.303954607454</v>
      </c>
      <c r="I70" s="62" t="s">
        <v>52</v>
      </c>
      <c r="J70" s="86">
        <v>0.9979609747259045</v>
      </c>
      <c r="K70" s="86">
        <f>AC54+0*L45</f>
        <v>178.33333333333331</v>
      </c>
      <c r="L70" s="86">
        <f>J70*1.5*((K70-F54)*500/2+(K70-G69)*500)</f>
        <v>72476.915789468796</v>
      </c>
      <c r="M70" s="62" t="s">
        <v>56</v>
      </c>
      <c r="N70" s="86">
        <v>1.0290395519889866E-2</v>
      </c>
      <c r="O70" s="86">
        <f>AC55+1*L45</f>
        <v>275.33333333333331</v>
      </c>
      <c r="P70" s="86">
        <f>N70*1.5*((O70-K70)*500/2)</f>
        <v>374.31313703599386</v>
      </c>
    </row>
    <row r="71" spans="1:22" x14ac:dyDescent="0.25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9" t="s">
        <v>79</v>
      </c>
      <c r="L71" s="89">
        <f>SUM(L67:L70)</f>
        <v>72476.987894339312</v>
      </c>
      <c r="M71" s="62" t="s">
        <v>52</v>
      </c>
      <c r="N71" s="86">
        <v>0.98969249378889146</v>
      </c>
      <c r="O71" s="86">
        <f>AC55+0*L45</f>
        <v>263.33333333333331</v>
      </c>
      <c r="P71" s="86">
        <f>N71*1.5*((O71-K70)*500/2)</f>
        <v>31546.448239520916</v>
      </c>
      <c r="Q71" s="179" t="s">
        <v>80</v>
      </c>
      <c r="R71" s="179"/>
      <c r="S71" s="180">
        <f>D69+H70+L71+P72</f>
        <v>122899.67562665655</v>
      </c>
      <c r="T71" s="180"/>
    </row>
    <row r="72" spans="1:22" x14ac:dyDescent="0.25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9" t="s">
        <v>79</v>
      </c>
      <c r="P72" s="89">
        <f>SUM(P67:P71)</f>
        <v>31921.383777709776</v>
      </c>
      <c r="Q72" s="179"/>
      <c r="R72" s="179"/>
      <c r="S72" s="180"/>
      <c r="T72" s="180"/>
    </row>
    <row r="73" spans="1:22" x14ac:dyDescent="0.25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</row>
    <row r="74" spans="1:22" x14ac:dyDescent="0.25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</row>
    <row r="75" spans="1:22" x14ac:dyDescent="0.25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</row>
    <row r="76" spans="1:22" ht="24.75" thickBot="1" x14ac:dyDescent="0.3">
      <c r="O76" s="131" t="s">
        <v>81</v>
      </c>
      <c r="P76" s="131"/>
      <c r="Q76" s="131">
        <f>(R62+P62+M63+S71)/AC55</f>
        <v>832.94249950118399</v>
      </c>
      <c r="R76" s="131"/>
    </row>
    <row r="77" spans="1:22" x14ac:dyDescent="0.25">
      <c r="A77" s="181" t="s">
        <v>91</v>
      </c>
      <c r="B77" s="182"/>
    </row>
    <row r="78" spans="1:22" ht="15.75" thickBot="1" x14ac:dyDescent="0.3">
      <c r="A78" s="183"/>
      <c r="B78" s="184"/>
    </row>
    <row r="79" spans="1:22" ht="21" x14ac:dyDescent="0.35">
      <c r="A79" s="185" t="s">
        <v>14</v>
      </c>
      <c r="B79" s="18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O79" s="166" t="s">
        <v>72</v>
      </c>
      <c r="P79" s="166"/>
      <c r="Q79" s="166"/>
      <c r="R79" s="166"/>
      <c r="S79" s="166"/>
      <c r="T79" s="166"/>
      <c r="U79" s="166"/>
      <c r="V79" s="166"/>
    </row>
    <row r="80" spans="1:22" ht="36" x14ac:dyDescent="0.25">
      <c r="A80" s="4" t="s">
        <v>15</v>
      </c>
      <c r="B80" s="4" t="s">
        <v>16</v>
      </c>
      <c r="C80" s="4" t="s">
        <v>31</v>
      </c>
      <c r="D80" s="6" t="s">
        <v>17</v>
      </c>
      <c r="E80" s="6" t="s">
        <v>18</v>
      </c>
      <c r="F80" s="6" t="s">
        <v>19</v>
      </c>
      <c r="G80" s="6" t="s">
        <v>20</v>
      </c>
      <c r="H80" s="6" t="s">
        <v>21</v>
      </c>
      <c r="I80" s="6" t="s">
        <v>22</v>
      </c>
      <c r="J80" s="6" t="s">
        <v>23</v>
      </c>
      <c r="K80" s="6" t="s">
        <v>24</v>
      </c>
      <c r="L80" s="6" t="s">
        <v>25</v>
      </c>
      <c r="M80" s="6" t="s">
        <v>26</v>
      </c>
      <c r="N80" s="8"/>
      <c r="O80" s="167" t="s">
        <v>32</v>
      </c>
      <c r="P80" s="167" t="s">
        <v>35</v>
      </c>
      <c r="Q80" s="167" t="s">
        <v>66</v>
      </c>
      <c r="R80" s="99" t="s">
        <v>67</v>
      </c>
      <c r="S80" s="99" t="s">
        <v>68</v>
      </c>
      <c r="T80" s="167" t="s">
        <v>69</v>
      </c>
      <c r="U80" s="71" t="s">
        <v>33</v>
      </c>
      <c r="V80" s="99" t="s">
        <v>70</v>
      </c>
    </row>
    <row r="81" spans="1:34" x14ac:dyDescent="0.25">
      <c r="A81" s="3" t="s">
        <v>27</v>
      </c>
      <c r="B81" s="3">
        <v>0</v>
      </c>
      <c r="C81" s="3">
        <v>0.3</v>
      </c>
      <c r="D81" s="3">
        <v>243</v>
      </c>
      <c r="E81" s="3">
        <v>1.73</v>
      </c>
      <c r="F81" s="3">
        <v>5</v>
      </c>
      <c r="G81" s="169">
        <v>12</v>
      </c>
      <c r="H81" s="3">
        <v>1820</v>
      </c>
      <c r="I81" s="169">
        <v>19645</v>
      </c>
      <c r="J81" s="3">
        <v>20</v>
      </c>
      <c r="K81" s="3">
        <v>40</v>
      </c>
      <c r="L81" s="3">
        <v>500</v>
      </c>
      <c r="M81" s="3">
        <v>1000</v>
      </c>
      <c r="O81" s="168"/>
      <c r="P81" s="168"/>
      <c r="Q81" s="168"/>
      <c r="R81" s="72" t="s">
        <v>71</v>
      </c>
      <c r="S81" s="72" t="s">
        <v>71</v>
      </c>
      <c r="T81" s="168"/>
      <c r="U81" s="73">
        <v>500</v>
      </c>
      <c r="V81" s="3">
        <v>1.5</v>
      </c>
    </row>
    <row r="82" spans="1:34" x14ac:dyDescent="0.25">
      <c r="A82" s="3" t="s">
        <v>28</v>
      </c>
      <c r="B82" s="3">
        <v>0</v>
      </c>
      <c r="C82" s="3">
        <v>0.3</v>
      </c>
      <c r="D82" s="3">
        <v>254</v>
      </c>
      <c r="E82" s="3">
        <v>1.88</v>
      </c>
      <c r="F82" s="3">
        <v>3</v>
      </c>
      <c r="G82" s="170"/>
      <c r="H82" s="3">
        <v>2720</v>
      </c>
      <c r="I82" s="170"/>
      <c r="J82" s="5"/>
      <c r="K82" s="5"/>
      <c r="L82" s="5"/>
      <c r="M82" s="5"/>
      <c r="O82" s="74">
        <v>1</v>
      </c>
      <c r="P82" s="74">
        <v>106</v>
      </c>
      <c r="Q82" s="74">
        <v>110</v>
      </c>
      <c r="R82" s="74">
        <v>6</v>
      </c>
      <c r="S82" s="74">
        <v>5</v>
      </c>
      <c r="T82" s="74">
        <f>R82*$U$5/60+S82</f>
        <v>55</v>
      </c>
      <c r="U82" s="75"/>
    </row>
    <row r="83" spans="1:34" x14ac:dyDescent="0.25">
      <c r="A83" s="3" t="s">
        <v>29</v>
      </c>
      <c r="B83" s="3">
        <v>0</v>
      </c>
      <c r="C83" s="3">
        <v>0.3</v>
      </c>
      <c r="D83" s="3">
        <v>143</v>
      </c>
      <c r="E83" s="3">
        <v>2.4300000000000002</v>
      </c>
      <c r="F83" s="3">
        <v>8</v>
      </c>
      <c r="G83" s="170"/>
      <c r="H83" s="3">
        <v>3700</v>
      </c>
      <c r="I83" s="170"/>
      <c r="J83" s="5"/>
      <c r="K83" s="140" t="s">
        <v>73</v>
      </c>
      <c r="L83" s="141">
        <v>12</v>
      </c>
      <c r="M83" s="140" t="s">
        <v>74</v>
      </c>
      <c r="N83" s="141">
        <v>19645</v>
      </c>
      <c r="O83" s="74">
        <v>2</v>
      </c>
      <c r="P83" s="74">
        <v>76</v>
      </c>
      <c r="Q83" s="74">
        <v>40</v>
      </c>
      <c r="R83" s="74">
        <v>9</v>
      </c>
      <c r="S83" s="74">
        <v>2</v>
      </c>
      <c r="T83" s="74">
        <f t="shared" ref="T83:T85" si="8">R83*$U$5/60+S83</f>
        <v>77</v>
      </c>
      <c r="U83" s="75"/>
    </row>
    <row r="84" spans="1:34" x14ac:dyDescent="0.25">
      <c r="A84" s="3" t="s">
        <v>30</v>
      </c>
      <c r="B84" s="3">
        <v>0</v>
      </c>
      <c r="C84" s="3">
        <v>0.3</v>
      </c>
      <c r="D84" s="3">
        <v>449</v>
      </c>
      <c r="E84" s="3">
        <v>2.5299999999999998</v>
      </c>
      <c r="F84" s="3">
        <v>4</v>
      </c>
      <c r="G84" s="171"/>
      <c r="H84" s="3">
        <v>4320</v>
      </c>
      <c r="I84" s="171"/>
      <c r="J84" s="5"/>
      <c r="K84" s="140"/>
      <c r="L84" s="141"/>
      <c r="M84" s="140"/>
      <c r="N84" s="141"/>
      <c r="O84" s="74">
        <v>3</v>
      </c>
      <c r="P84" s="74">
        <v>95</v>
      </c>
      <c r="Q84" s="74">
        <v>67</v>
      </c>
      <c r="R84" s="74">
        <v>5</v>
      </c>
      <c r="S84" s="74">
        <v>4</v>
      </c>
      <c r="T84" s="74">
        <f t="shared" si="8"/>
        <v>45.666666666666664</v>
      </c>
      <c r="U84" s="75"/>
    </row>
    <row r="85" spans="1:34" ht="15.75" thickBo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O85" s="74">
        <v>4</v>
      </c>
      <c r="P85" s="74">
        <v>140</v>
      </c>
      <c r="Q85" s="94">
        <v>85</v>
      </c>
      <c r="R85" s="94">
        <v>8</v>
      </c>
      <c r="S85" s="94">
        <v>3</v>
      </c>
      <c r="T85" s="74">
        <f t="shared" si="8"/>
        <v>69.666666666666671</v>
      </c>
    </row>
    <row r="86" spans="1:34" ht="15" customHeight="1" x14ac:dyDescent="0.25">
      <c r="A86" s="142" t="s">
        <v>101</v>
      </c>
      <c r="B86" s="144" t="s">
        <v>107</v>
      </c>
      <c r="C86" s="144"/>
      <c r="D86" s="144"/>
      <c r="E86" s="144"/>
      <c r="F86" s="20" t="s">
        <v>27</v>
      </c>
      <c r="G86" s="20" t="s">
        <v>28</v>
      </c>
      <c r="H86" s="20" t="s">
        <v>29</v>
      </c>
      <c r="I86" s="20" t="s">
        <v>30</v>
      </c>
    </row>
    <row r="87" spans="1:34" ht="15.75" customHeight="1" thickBot="1" x14ac:dyDescent="0.3">
      <c r="A87" s="143"/>
      <c r="B87" s="145"/>
      <c r="C87" s="145"/>
      <c r="D87" s="145"/>
      <c r="E87" s="145"/>
      <c r="F87" s="20">
        <v>168</v>
      </c>
      <c r="G87" s="26">
        <v>84</v>
      </c>
      <c r="H87" s="26">
        <v>84</v>
      </c>
      <c r="I87" s="26">
        <v>252</v>
      </c>
    </row>
    <row r="88" spans="1:34" ht="15.75" customHeight="1" thickBot="1" x14ac:dyDescent="0.3">
      <c r="A88" s="143"/>
      <c r="B88" s="145"/>
      <c r="C88" s="145"/>
      <c r="D88" s="145"/>
      <c r="E88" s="145"/>
      <c r="F88" s="7"/>
      <c r="G88" s="146" t="s">
        <v>27</v>
      </c>
      <c r="H88" s="147"/>
      <c r="I88" s="147"/>
      <c r="J88" s="147"/>
      <c r="K88" s="148"/>
      <c r="L88" s="149" t="s">
        <v>28</v>
      </c>
      <c r="M88" s="150"/>
      <c r="N88" s="150"/>
      <c r="O88" s="150"/>
      <c r="P88" s="151"/>
      <c r="Q88" s="152" t="s">
        <v>29</v>
      </c>
      <c r="R88" s="153"/>
      <c r="S88" s="153"/>
      <c r="T88" s="153"/>
      <c r="U88" s="154"/>
      <c r="V88" s="155" t="s">
        <v>30</v>
      </c>
      <c r="W88" s="156"/>
      <c r="X88" s="156"/>
      <c r="Y88" s="156"/>
      <c r="Z88" s="157"/>
      <c r="AA88" s="158" t="s">
        <v>42</v>
      </c>
      <c r="AB88" s="159"/>
      <c r="AC88" s="160" t="s">
        <v>44</v>
      </c>
      <c r="AD88" s="162" t="s">
        <v>47</v>
      </c>
      <c r="AE88" s="163"/>
      <c r="AF88" s="163"/>
      <c r="AG88" s="164"/>
      <c r="AH88" s="138" t="s">
        <v>62</v>
      </c>
    </row>
    <row r="89" spans="1:34" ht="36.75" x14ac:dyDescent="0.25">
      <c r="A89" s="21" t="s">
        <v>32</v>
      </c>
      <c r="B89" s="22" t="s">
        <v>37</v>
      </c>
      <c r="C89" s="23" t="s">
        <v>33</v>
      </c>
      <c r="D89" s="22" t="s">
        <v>38</v>
      </c>
      <c r="E89" s="22" t="s">
        <v>34</v>
      </c>
      <c r="F89" s="25" t="s">
        <v>35</v>
      </c>
      <c r="G89" s="27" t="s">
        <v>39</v>
      </c>
      <c r="H89" s="10" t="s">
        <v>40</v>
      </c>
      <c r="I89" s="10" t="s">
        <v>45</v>
      </c>
      <c r="J89" s="10" t="s">
        <v>46</v>
      </c>
      <c r="K89" s="28" t="s">
        <v>41</v>
      </c>
      <c r="L89" s="30" t="s">
        <v>39</v>
      </c>
      <c r="M89" s="13" t="s">
        <v>40</v>
      </c>
      <c r="N89" s="13" t="s">
        <v>45</v>
      </c>
      <c r="O89" s="13" t="s">
        <v>46</v>
      </c>
      <c r="P89" s="31" t="s">
        <v>41</v>
      </c>
      <c r="Q89" s="33" t="s">
        <v>39</v>
      </c>
      <c r="R89" s="12" t="s">
        <v>40</v>
      </c>
      <c r="S89" s="12" t="s">
        <v>45</v>
      </c>
      <c r="T89" s="12" t="s">
        <v>46</v>
      </c>
      <c r="U89" s="34" t="s">
        <v>41</v>
      </c>
      <c r="V89" s="36" t="s">
        <v>39</v>
      </c>
      <c r="W89" s="11" t="s">
        <v>40</v>
      </c>
      <c r="X89" s="11" t="s">
        <v>45</v>
      </c>
      <c r="Y89" s="11" t="s">
        <v>46</v>
      </c>
      <c r="Z89" s="37" t="s">
        <v>41</v>
      </c>
      <c r="AA89" s="39" t="s">
        <v>41</v>
      </c>
      <c r="AB89" s="40" t="s">
        <v>43</v>
      </c>
      <c r="AC89" s="161"/>
      <c r="AD89" s="43" t="s">
        <v>27</v>
      </c>
      <c r="AE89" s="1" t="s">
        <v>28</v>
      </c>
      <c r="AF89" s="1" t="s">
        <v>29</v>
      </c>
      <c r="AG89" s="1" t="s">
        <v>30</v>
      </c>
      <c r="AH89" s="139"/>
    </row>
    <row r="90" spans="1:34" x14ac:dyDescent="0.25">
      <c r="A90" s="24">
        <v>3</v>
      </c>
      <c r="B90" s="9">
        <v>5</v>
      </c>
      <c r="C90" s="9">
        <v>500</v>
      </c>
      <c r="D90" s="9">
        <v>4</v>
      </c>
      <c r="E90" s="48">
        <f>B90*C90/60+D90</f>
        <v>45.666666666666664</v>
      </c>
      <c r="F90" s="14">
        <v>95</v>
      </c>
      <c r="G90" s="49">
        <f>B$5*(1-AD90*C$5)</f>
        <v>0</v>
      </c>
      <c r="H90" s="50">
        <f>G90+E90</f>
        <v>45.666666666666664</v>
      </c>
      <c r="I90" s="15">
        <f>(H90/D$5)^E$5</f>
        <v>5.5463587496332782E-2</v>
      </c>
      <c r="J90" s="15">
        <f>(G90/D$5)^E$5</f>
        <v>0</v>
      </c>
      <c r="K90" s="29">
        <f>1-EXP(J90-I90)</f>
        <v>5.3953529036131931E-2</v>
      </c>
      <c r="L90" s="51">
        <f>B$6*(1-AE90*C$6)</f>
        <v>0</v>
      </c>
      <c r="M90" s="52">
        <f>L90+E90</f>
        <v>45.666666666666664</v>
      </c>
      <c r="N90" s="17">
        <f>(M90/D$6)^E$6</f>
        <v>3.9715434673642101E-2</v>
      </c>
      <c r="O90" s="17">
        <f>(L90/D$6)^E$6</f>
        <v>0</v>
      </c>
      <c r="P90" s="32">
        <f>1-EXP(O90-N90)</f>
        <v>3.8937114582545562E-2</v>
      </c>
      <c r="Q90" s="53">
        <f>B$7*(1-AF90*C$7)</f>
        <v>0</v>
      </c>
      <c r="R90" s="54">
        <f>Q90+E90</f>
        <v>45.666666666666664</v>
      </c>
      <c r="S90" s="16">
        <f>(R90/D$7)^E$7</f>
        <v>6.2425173515745024E-2</v>
      </c>
      <c r="T90" s="16">
        <f>(Q90/D$7)^E$7</f>
        <v>0</v>
      </c>
      <c r="U90" s="35">
        <f>1-EXP(T90-S90)</f>
        <v>6.0516641579816954E-2</v>
      </c>
      <c r="V90" s="55">
        <f>B$8*(1-AG90*C$8)</f>
        <v>0</v>
      </c>
      <c r="W90" s="56">
        <f>V90+E90</f>
        <v>45.666666666666664</v>
      </c>
      <c r="X90" s="18">
        <f>(W90/D$8)^E$8</f>
        <v>3.0803709406480337E-3</v>
      </c>
      <c r="Y90" s="18">
        <f>(V90/D$8)^E$8</f>
        <v>0</v>
      </c>
      <c r="Z90" s="38">
        <f>1-EXP(Y90-X90)</f>
        <v>3.0756314657778283E-3</v>
      </c>
      <c r="AA90" s="41">
        <f>K90*P90*U90*Z90</f>
        <v>3.9101438569080559E-7</v>
      </c>
      <c r="AB90" s="42">
        <f>1-AA90</f>
        <v>0.99999960898561435</v>
      </c>
      <c r="AC90" s="47">
        <f>(AD90*F$5+AE90*F$6+AF90*F$7+AG90*F$8)+E90</f>
        <v>45.666666666666664</v>
      </c>
      <c r="AD90" s="43">
        <v>0</v>
      </c>
      <c r="AE90" s="1">
        <v>0</v>
      </c>
      <c r="AF90" s="1">
        <v>0</v>
      </c>
      <c r="AG90" s="1">
        <v>0</v>
      </c>
      <c r="AH90" s="44">
        <v>67</v>
      </c>
    </row>
    <row r="91" spans="1:34" x14ac:dyDescent="0.25">
      <c r="A91" s="24">
        <v>2</v>
      </c>
      <c r="B91" s="9">
        <v>9</v>
      </c>
      <c r="C91" s="9">
        <v>500</v>
      </c>
      <c r="D91" s="9">
        <v>2</v>
      </c>
      <c r="E91" s="9">
        <f t="shared" ref="E91:E93" si="9">B91*C91/60+D91</f>
        <v>77</v>
      </c>
      <c r="F91" s="14">
        <v>76</v>
      </c>
      <c r="G91" s="49">
        <f>H90*(1-AD91*C$5)</f>
        <v>45.666666666666664</v>
      </c>
      <c r="H91" s="50">
        <f>G91+E91</f>
        <v>122.66666666666666</v>
      </c>
      <c r="I91" s="15">
        <f>(H91/D$5)^E$5</f>
        <v>0.30647715135734394</v>
      </c>
      <c r="J91" s="15">
        <f>(G91/D$5)^E$5</f>
        <v>5.5463587496332782E-2</v>
      </c>
      <c r="K91" s="29">
        <f>1-EXP(J91-I91)</f>
        <v>0.22198818135678478</v>
      </c>
      <c r="L91" s="51">
        <f>M90*(1-AE91*C$6)</f>
        <v>45.666666666666664</v>
      </c>
      <c r="M91" s="52">
        <f>L91+E91</f>
        <v>122.66666666666666</v>
      </c>
      <c r="N91" s="17">
        <f>(M91/D$6)^E$6</f>
        <v>0.25451802994245737</v>
      </c>
      <c r="O91" s="17">
        <f>(L91/D$6)^E$6</f>
        <v>3.9715434673642101E-2</v>
      </c>
      <c r="P91" s="32">
        <f>1-EXP(O91-N91)</f>
        <v>0.19329932901054481</v>
      </c>
      <c r="Q91" s="53">
        <f>R90*(1-AF91*C$7)</f>
        <v>45.666666666666664</v>
      </c>
      <c r="R91" s="54">
        <f>Q91+E91</f>
        <v>122.66666666666666</v>
      </c>
      <c r="S91" s="16">
        <f>(R91/D$7)^E$7</f>
        <v>0.68887270848465465</v>
      </c>
      <c r="T91" s="16">
        <f>(Q91/D$7)^E$7</f>
        <v>6.2425173515745024E-2</v>
      </c>
      <c r="U91" s="35">
        <f>1-EXP(T91-S91)</f>
        <v>0.46551282060476484</v>
      </c>
      <c r="V91" s="55">
        <f>W90*(1-AG91*C$8)</f>
        <v>45.666666666666664</v>
      </c>
      <c r="W91" s="56">
        <f>V91+E91</f>
        <v>122.66666666666666</v>
      </c>
      <c r="X91" s="18">
        <f>(W91/D$8)^E$8</f>
        <v>3.7522776286050503E-2</v>
      </c>
      <c r="Y91" s="18">
        <f>(V91/D$8)^E$8</f>
        <v>3.0803709406480337E-3</v>
      </c>
      <c r="Z91" s="38">
        <f>1-EXP(Y91-X91)</f>
        <v>3.3856017186915555E-2</v>
      </c>
      <c r="AA91" s="41">
        <f>K91*P91*U91*Z91</f>
        <v>6.7628181964517946E-4</v>
      </c>
      <c r="AB91" s="42">
        <f>1-AA91</f>
        <v>0.99932371818035481</v>
      </c>
      <c r="AC91" s="47">
        <f>AF91*F$7+E91+AC90</f>
        <v>122.66666666666666</v>
      </c>
      <c r="AD91" s="43">
        <v>0</v>
      </c>
      <c r="AE91" s="1">
        <v>0</v>
      </c>
      <c r="AF91" s="1">
        <v>0</v>
      </c>
      <c r="AG91" s="1">
        <v>0</v>
      </c>
      <c r="AH91" s="44">
        <v>40</v>
      </c>
    </row>
    <row r="92" spans="1:34" x14ac:dyDescent="0.25">
      <c r="A92" s="57">
        <v>1</v>
      </c>
      <c r="B92" s="58">
        <v>6</v>
      </c>
      <c r="C92" s="58">
        <v>500</v>
      </c>
      <c r="D92" s="58">
        <v>5</v>
      </c>
      <c r="E92" s="66">
        <f t="shared" si="9"/>
        <v>55</v>
      </c>
      <c r="F92" s="67">
        <v>106</v>
      </c>
      <c r="G92" s="68">
        <f>H91*(1-AD92*C$5)</f>
        <v>122.66666666666666</v>
      </c>
      <c r="H92" s="69">
        <f>G92+E92</f>
        <v>177.66666666666666</v>
      </c>
      <c r="I92" s="70">
        <f>(H92/D$5)^E$5</f>
        <v>0.58172730301954589</v>
      </c>
      <c r="J92" s="70">
        <f>(G92/D$5)^E$5</f>
        <v>0.30647715135734394</v>
      </c>
      <c r="K92" s="29">
        <f>1-EXP(J92-I92)</f>
        <v>0.2406178612407629</v>
      </c>
      <c r="L92" s="51">
        <f>M91*(1-AE92*C$6)</f>
        <v>85.86666666666666</v>
      </c>
      <c r="M92" s="52">
        <f>L92+E92</f>
        <v>140.86666666666667</v>
      </c>
      <c r="N92" s="17">
        <f>(M92/D$6)^E$6</f>
        <v>0.33012020048485397</v>
      </c>
      <c r="O92" s="17">
        <f>(L92/D$6)^E$6</f>
        <v>0.13016759122196553</v>
      </c>
      <c r="P92" s="32">
        <f>1-EXP(O92-N92)</f>
        <v>0.18123044574873304</v>
      </c>
      <c r="Q92" s="53">
        <f>R91*(1-AF92*C$7)</f>
        <v>85.86666666666666</v>
      </c>
      <c r="R92" s="54">
        <f>Q92+E92</f>
        <v>140.86666666666667</v>
      </c>
      <c r="S92" s="16">
        <f>(R92/D$7)^E$7</f>
        <v>0.9641341084452858</v>
      </c>
      <c r="T92" s="16">
        <f>(Q92/D$7)^E$7</f>
        <v>0.28955243173642403</v>
      </c>
      <c r="U92" s="35">
        <f>1-EXP(T92-S92)</f>
        <v>0.49063054284691032</v>
      </c>
      <c r="V92" s="55">
        <f>W91*(1-AG92*C$8)</f>
        <v>122.66666666666666</v>
      </c>
      <c r="W92" s="56">
        <f>V92+E92</f>
        <v>177.66666666666666</v>
      </c>
      <c r="X92" s="18">
        <f>(W92/D$8)^E$8</f>
        <v>9.5789922449281015E-2</v>
      </c>
      <c r="Y92" s="18">
        <f>(V92/D$8)^E$8</f>
        <v>3.7522776286050503E-2</v>
      </c>
      <c r="Z92" s="38">
        <f>1-EXP(Y92-X92)</f>
        <v>5.6602111356323093E-2</v>
      </c>
      <c r="AA92" s="41">
        <f>K92*P92*U92*Z92</f>
        <v>1.2110058267745351E-3</v>
      </c>
      <c r="AB92" s="42">
        <f>1-AA92</f>
        <v>0.99878899417322542</v>
      </c>
      <c r="AC92" s="47">
        <f>(AF92*F$7)+E92+AC91</f>
        <v>185.66666666666666</v>
      </c>
      <c r="AD92" s="77">
        <v>0</v>
      </c>
      <c r="AE92" s="78">
        <v>1</v>
      </c>
      <c r="AF92" s="78">
        <v>1</v>
      </c>
      <c r="AG92" s="78">
        <v>0</v>
      </c>
      <c r="AH92" s="79">
        <v>110</v>
      </c>
    </row>
    <row r="93" spans="1:34" ht="15.75" thickBot="1" x14ac:dyDescent="0.3">
      <c r="A93" s="76">
        <v>4</v>
      </c>
      <c r="B93" s="58">
        <v>8</v>
      </c>
      <c r="C93" s="58">
        <v>500</v>
      </c>
      <c r="D93" s="58">
        <v>3</v>
      </c>
      <c r="E93" s="66">
        <f t="shared" si="9"/>
        <v>69.666666666666671</v>
      </c>
      <c r="F93" s="67">
        <v>140</v>
      </c>
      <c r="G93" s="68">
        <f>H92*(1-AD93*C$5)</f>
        <v>124.36666666666665</v>
      </c>
      <c r="H93" s="69">
        <f>G93+E93</f>
        <v>194.0333333333333</v>
      </c>
      <c r="I93" s="70">
        <f>(H93/D$5)^E$5</f>
        <v>0.67752796083510003</v>
      </c>
      <c r="J93" s="70">
        <f>(G93/D$5)^E$5</f>
        <v>0.31386223054487455</v>
      </c>
      <c r="K93" s="29">
        <f>1-EXP(J93-I93)</f>
        <v>0.30487648535250744</v>
      </c>
      <c r="L93" s="51">
        <f>M92*(1-AE93*C$6)</f>
        <v>98.606666666666669</v>
      </c>
      <c r="M93" s="52">
        <f>L93+E93</f>
        <v>168.27333333333334</v>
      </c>
      <c r="N93" s="17">
        <f>(M93/D$6)^E$6</f>
        <v>0.46112787141135408</v>
      </c>
      <c r="O93" s="17">
        <f>(L93/D$6)^E$6</f>
        <v>0.16883264152461361</v>
      </c>
      <c r="P93" s="32">
        <f>1-EXP(O93-N93)</f>
        <v>0.25345189987571315</v>
      </c>
      <c r="Q93" s="53">
        <f>R92*(1-AF93*C$7)</f>
        <v>98.606666666666669</v>
      </c>
      <c r="R93" s="54">
        <f>Q93+E93</f>
        <v>168.27333333333334</v>
      </c>
      <c r="S93" s="16">
        <f>(R93/D$7)^E$7</f>
        <v>1.4850825755388559</v>
      </c>
      <c r="T93" s="16">
        <f>(Q93/D$7)^E$7</f>
        <v>0.4052524830522885</v>
      </c>
      <c r="U93" s="35">
        <f>1-EXP(T93-S93)</f>
        <v>0.66034676962163052</v>
      </c>
      <c r="V93" s="55">
        <f>W92*(1-AG93*C$8)</f>
        <v>177.66666666666666</v>
      </c>
      <c r="W93" s="56">
        <f>V93+E93</f>
        <v>247.33333333333331</v>
      </c>
      <c r="X93" s="18">
        <f>(W93/D$8)^E$8</f>
        <v>0.221218713919872</v>
      </c>
      <c r="Y93" s="18">
        <f>(V93/D$8)^E$8</f>
        <v>9.5789922449281015E-2</v>
      </c>
      <c r="Z93" s="38">
        <f>1-EXP(Y93-X93)</f>
        <v>0.11788142344277242</v>
      </c>
      <c r="AA93" s="41">
        <f>K93*P93*U93*Z93</f>
        <v>6.0150176950369378E-3</v>
      </c>
      <c r="AB93" s="42">
        <f>1-AA93</f>
        <v>0.99398498230496302</v>
      </c>
      <c r="AC93" s="47">
        <f>(AF93*F$7)+E93+AC92</f>
        <v>263.33333333333331</v>
      </c>
      <c r="AD93" s="80">
        <v>1</v>
      </c>
      <c r="AE93" s="45">
        <v>1</v>
      </c>
      <c r="AF93" s="81">
        <v>1</v>
      </c>
      <c r="AG93" s="45">
        <v>0</v>
      </c>
      <c r="AH93" s="82">
        <v>85</v>
      </c>
    </row>
    <row r="94" spans="1:34" ht="18.75" x14ac:dyDescent="0.3">
      <c r="A94" s="132" t="s">
        <v>53</v>
      </c>
      <c r="B94" s="132"/>
      <c r="C94" s="132"/>
      <c r="D94" s="132"/>
      <c r="E94" s="132"/>
      <c r="F94" s="132"/>
      <c r="G94" s="132"/>
      <c r="H94" s="132"/>
      <c r="I94" s="132"/>
      <c r="J94" s="132"/>
      <c r="AG94" s="46"/>
    </row>
    <row r="95" spans="1:34" ht="15.75" x14ac:dyDescent="0.25">
      <c r="A95" s="19" t="s">
        <v>54</v>
      </c>
      <c r="B95" s="60" t="s">
        <v>49</v>
      </c>
      <c r="C95" s="61" t="s">
        <v>50</v>
      </c>
      <c r="D95" s="19" t="s">
        <v>48</v>
      </c>
      <c r="E95" s="60" t="s">
        <v>57</v>
      </c>
      <c r="F95" s="61" t="s">
        <v>50</v>
      </c>
      <c r="G95" s="19" t="s">
        <v>58</v>
      </c>
      <c r="H95" s="60" t="s">
        <v>61</v>
      </c>
      <c r="I95" s="61" t="s">
        <v>50</v>
      </c>
      <c r="J95" s="19" t="s">
        <v>82</v>
      </c>
      <c r="K95" s="83" t="s">
        <v>84</v>
      </c>
      <c r="L95" s="61" t="s">
        <v>50</v>
      </c>
      <c r="M95" s="61" t="s">
        <v>85</v>
      </c>
      <c r="O95" s="174" t="s">
        <v>64</v>
      </c>
      <c r="P95" s="174"/>
      <c r="Q95" s="175" t="s">
        <v>109</v>
      </c>
      <c r="R95" s="175"/>
    </row>
    <row r="96" spans="1:34" ht="24.75" x14ac:dyDescent="0.25">
      <c r="A96" s="61" t="s">
        <v>51</v>
      </c>
      <c r="B96" s="1">
        <f>AA90</f>
        <v>3.9101438569080559E-7</v>
      </c>
      <c r="C96" s="59">
        <f>MAX(AC90+1*L83-F90,0)</f>
        <v>0</v>
      </c>
      <c r="D96" s="62" t="s">
        <v>55</v>
      </c>
      <c r="E96" s="1">
        <f>AA90*AA91</f>
        <v>2.6443592026242004E-10</v>
      </c>
      <c r="F96" s="1">
        <f>MAX(AC91+2*L83-F91,0)</f>
        <v>70.666666666666657</v>
      </c>
      <c r="G96" s="62" t="s">
        <v>59</v>
      </c>
      <c r="H96" s="1">
        <f>AA90*AA91*AA92</f>
        <v>3.2023344024627705E-13</v>
      </c>
      <c r="I96" s="1">
        <f>AC92+3*L83-F92</f>
        <v>115.66666666666666</v>
      </c>
      <c r="J96" s="62" t="s">
        <v>83</v>
      </c>
      <c r="K96" s="1">
        <f>AA90*AA91*AA92*AA93</f>
        <v>1.9262098096239104E-15</v>
      </c>
      <c r="L96" s="1">
        <f>AC93+4*L83-F93</f>
        <v>171.33333333333331</v>
      </c>
      <c r="M96" s="1">
        <f>B96*C96*AH90+E96*F96*AH91+H96*I96*AH92+K96*L96*AH93</f>
        <v>7.5157469011536824E-7</v>
      </c>
      <c r="O96" s="1" t="s">
        <v>27</v>
      </c>
      <c r="P96" s="1">
        <f>H81</f>
        <v>1820</v>
      </c>
      <c r="Q96" s="1">
        <f>(K90*(1-P90)*(1-U90)*(1-Z90))+(P90*(1-K90)*(1-U90)*(1-Z90))+(U90*(1-K90)*(1-P90)*(1-Z90))+(Z90*(1-K90)*(1-P90)*(1-U90))</f>
        <v>0.1405459062810282</v>
      </c>
      <c r="R96" s="1">
        <f>Q96*(L$7*(J$5*K$5+L$5)+I$5)</f>
        <v>4953.5404668748388</v>
      </c>
    </row>
    <row r="97" spans="1:20" ht="24.75" x14ac:dyDescent="0.25">
      <c r="A97" s="62" t="s">
        <v>52</v>
      </c>
      <c r="B97" s="1">
        <f>AB90</f>
        <v>0.99999960898561435</v>
      </c>
      <c r="C97" s="59">
        <f>MAX(AC90-F90,0)</f>
        <v>0</v>
      </c>
      <c r="D97" s="62" t="s">
        <v>56</v>
      </c>
      <c r="E97" s="1">
        <f>AA90*AB91+AA91*AB90</f>
        <v>6.7667230515902979E-4</v>
      </c>
      <c r="F97" s="1">
        <f>MAX(AC91+1*L83-F91,0)</f>
        <v>58.666666666666657</v>
      </c>
      <c r="G97" s="62" t="s">
        <v>60</v>
      </c>
      <c r="H97" s="1">
        <f>AA90*AA91*AB92+AA91*AA92*AB90+AA90*AA92*AB91</f>
        <v>8.1971822005136353E-7</v>
      </c>
      <c r="I97" s="1">
        <f>AC92+2*L83-F92</f>
        <v>103.66666666666666</v>
      </c>
      <c r="J97" s="62" t="s">
        <v>59</v>
      </c>
      <c r="K97">
        <f>AB90*AA91*AA92*AA93+AB91*AA90*AA92*AA93*+AB92*AA90*AA91*AA93+AB93*AA90*AA91*AA92</f>
        <v>4.9265029360776094E-9</v>
      </c>
      <c r="L97" s="1">
        <f>AC93+3*L83-F93</f>
        <v>159.33333333333331</v>
      </c>
      <c r="M97" s="1">
        <f>B97*C97*AH90+E97*F97*AH91+H97*I97*AH92+K97*L97*AH93</f>
        <v>1.5973385841472727</v>
      </c>
      <c r="O97" s="1" t="s">
        <v>28</v>
      </c>
      <c r="P97" s="1">
        <f>2*H82</f>
        <v>5440</v>
      </c>
      <c r="Q97" s="1">
        <f t="shared" ref="Q97:Q99" si="10">(K91*(1-P91)*(1-U91)*(1-Z91))+(P91*(1-K91)*(1-U91)*(1-Z91))+(U91*(1-K91)*(1-P91)*(1-Z91))+(Z91*(1-K91)*(1-P91)*(1-U91))</f>
        <v>0.4637660892509754</v>
      </c>
      <c r="R97" s="1">
        <f t="shared" ref="R97:R99" si="11">Q97*(L$7*(J$5*K$5+L$5)+I$5)</f>
        <v>16345.435815650628</v>
      </c>
    </row>
    <row r="98" spans="1:20" ht="24.75" x14ac:dyDescent="0.25">
      <c r="A98" s="1"/>
      <c r="B98" s="1"/>
      <c r="C98" s="1"/>
      <c r="D98" s="62" t="s">
        <v>52</v>
      </c>
      <c r="E98" s="1">
        <f>AB90*AB91</f>
        <v>0.99932332743040508</v>
      </c>
      <c r="F98" s="59">
        <f>MAX(AC91-F91,0)</f>
        <v>46.666666666666657</v>
      </c>
      <c r="G98" s="62" t="s">
        <v>56</v>
      </c>
      <c r="H98" s="1">
        <f>AA90*AB91*AB92+AA91*AB90*AB92*+AA92*AB90*AB91</f>
        <v>1.2077123517613135E-6</v>
      </c>
      <c r="I98" s="1">
        <f>AC92+1*L83-F92</f>
        <v>91.666666666666657</v>
      </c>
      <c r="J98" s="62" t="s">
        <v>60</v>
      </c>
      <c r="K98" s="1">
        <f>AA90*AA91*AB92*AB93 + AA90*AA92*AB91*AB93 + AA90*AA93*AB91*AB92 + AA91*AA92*AB90*AB93 + AA91*AA93*AB90*AB92 + AA92*AA93*AB90*AB91</f>
        <v>1.2159346902765218E-5</v>
      </c>
      <c r="L98" s="1">
        <f>AC93+2*L83-F93</f>
        <v>147.33333333333331</v>
      </c>
      <c r="M98" s="1">
        <f>B98*C98*AH90+E98*F98*AH91+H98*I98*AH92+K98*L98*AH93</f>
        <v>1865.5679978573485</v>
      </c>
      <c r="O98" s="1" t="s">
        <v>29</v>
      </c>
      <c r="P98" s="1">
        <f>2*(F83*(J81*K81+L81)+H83)</f>
        <v>28200</v>
      </c>
      <c r="Q98" s="1">
        <f t="shared" si="10"/>
        <v>0.4665176726548928</v>
      </c>
      <c r="R98" s="1">
        <f t="shared" si="11"/>
        <v>16442.415372721698</v>
      </c>
    </row>
    <row r="99" spans="1:20" ht="24.75" x14ac:dyDescent="0.25">
      <c r="A99" s="1"/>
      <c r="B99" s="1"/>
      <c r="C99" s="1"/>
      <c r="D99" s="1"/>
      <c r="E99" s="1"/>
      <c r="F99" s="1"/>
      <c r="G99" s="62" t="s">
        <v>52</v>
      </c>
      <c r="H99" s="1">
        <f>AB90*AB91*AB92</f>
        <v>0.99811314105805515</v>
      </c>
      <c r="I99" s="63">
        <f>AC92-F92</f>
        <v>79.666666666666657</v>
      </c>
      <c r="J99" s="62" t="s">
        <v>56</v>
      </c>
      <c r="K99" s="1">
        <f>AA90*AB91*AB92*AB93+AA91*AB90*AB92*AB93+AA92*AB90*AB91*AB93+AA93*AB90*AB91*AB92</f>
        <v>7.8783628692153905E-3</v>
      </c>
      <c r="L99" s="1">
        <f>AC93+1*L83-F93</f>
        <v>135.33333333333331</v>
      </c>
      <c r="M99" s="1">
        <f>B99*C99*AH90+E99*F99*AH91+H99*I99*AH92+K99*L99*AH93</f>
        <v>8837.4255936776299</v>
      </c>
      <c r="O99" s="1" t="s">
        <v>30</v>
      </c>
      <c r="P99" s="1">
        <v>0</v>
      </c>
      <c r="Q99" s="1">
        <f t="shared" si="10"/>
        <v>0.44404430830762748</v>
      </c>
      <c r="R99" s="1">
        <f t="shared" si="11"/>
        <v>15650.341646302331</v>
      </c>
    </row>
    <row r="100" spans="1:20" ht="30" x14ac:dyDescent="0.25">
      <c r="I100" s="84"/>
      <c r="J100" s="62" t="s">
        <v>52</v>
      </c>
      <c r="K100" s="85">
        <f>AB90*AB91*AB92*AB93</f>
        <v>0.99210947285294204</v>
      </c>
      <c r="L100" s="1">
        <f>AC93+0*L83-F93</f>
        <v>123.33333333333331</v>
      </c>
      <c r="M100" s="1">
        <f>B100*C100*AH90+E100*F100*AH91+H100*I100*AH92+K100*L100*AH93</f>
        <v>10400.614307075008</v>
      </c>
      <c r="O100" s="64" t="s">
        <v>65</v>
      </c>
      <c r="P100" s="65">
        <f>SUM(P96:P99)</f>
        <v>35460</v>
      </c>
      <c r="Q100" s="96" t="s">
        <v>108</v>
      </c>
      <c r="R100" s="97">
        <f>SUM(R96:R99)</f>
        <v>53391.733301549495</v>
      </c>
    </row>
    <row r="101" spans="1:20" x14ac:dyDescent="0.25">
      <c r="L101" s="176" t="s">
        <v>63</v>
      </c>
      <c r="M101" s="177">
        <f>SUM(M96:M100)</f>
        <v>21105.205237945709</v>
      </c>
    </row>
    <row r="102" spans="1:20" x14ac:dyDescent="0.25">
      <c r="L102" s="176"/>
      <c r="M102" s="177"/>
    </row>
    <row r="103" spans="1:20" x14ac:dyDescent="0.25">
      <c r="A103" s="178" t="s">
        <v>90</v>
      </c>
      <c r="B103" s="178"/>
      <c r="C103" s="178"/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</row>
    <row r="104" spans="1:20" ht="15.75" x14ac:dyDescent="0.25">
      <c r="A104" s="87" t="s">
        <v>76</v>
      </c>
      <c r="B104" s="62" t="s">
        <v>49</v>
      </c>
      <c r="C104" s="90" t="s">
        <v>102</v>
      </c>
      <c r="D104" s="62" t="s">
        <v>88</v>
      </c>
      <c r="E104" s="87" t="s">
        <v>75</v>
      </c>
      <c r="F104" s="62" t="s">
        <v>57</v>
      </c>
      <c r="G104" s="90" t="s">
        <v>87</v>
      </c>
      <c r="H104" s="62" t="s">
        <v>88</v>
      </c>
      <c r="I104" s="87" t="s">
        <v>77</v>
      </c>
      <c r="J104" s="62" t="s">
        <v>61</v>
      </c>
      <c r="K104" s="90" t="s">
        <v>78</v>
      </c>
      <c r="L104" s="62" t="s">
        <v>88</v>
      </c>
      <c r="M104" s="87" t="s">
        <v>86</v>
      </c>
      <c r="N104" s="62" t="s">
        <v>84</v>
      </c>
      <c r="O104" s="90" t="s">
        <v>103</v>
      </c>
      <c r="P104" s="62" t="s">
        <v>88</v>
      </c>
    </row>
    <row r="105" spans="1:20" ht="24.75" x14ac:dyDescent="0.25">
      <c r="A105" s="62" t="s">
        <v>51</v>
      </c>
      <c r="B105" s="86">
        <v>3.9101438569080559E-7</v>
      </c>
      <c r="C105" s="86">
        <f>AC90+1*L83</f>
        <v>57.666666666666664</v>
      </c>
      <c r="D105" s="86">
        <f>MAX(B105*1.5*((C105-F90)*500/2),0)</f>
        <v>0</v>
      </c>
      <c r="E105" s="62" t="s">
        <v>55</v>
      </c>
      <c r="F105" s="86">
        <v>2.6443592026242004E-10</v>
      </c>
      <c r="G105" s="86">
        <f>AC91+2*L83</f>
        <v>146.66666666666666</v>
      </c>
      <c r="H105" s="86">
        <f>F105*1.5*((G105-F91)*500/2+(G105-F92)*500 + (G105-F93)*500)</f>
        <v>1.6395027056270037E-5</v>
      </c>
      <c r="I105" s="62" t="s">
        <v>59</v>
      </c>
      <c r="J105" s="86">
        <v>3.2023344024627705E-13</v>
      </c>
      <c r="K105" s="86">
        <f>AC92+3*L83</f>
        <v>221.66666666666666</v>
      </c>
      <c r="L105" s="86">
        <f>J105*1.5*((K105-G105)*500/2+(K105-G105)*500)</f>
        <v>2.7019696520779625E-8</v>
      </c>
      <c r="M105" s="62" t="s">
        <v>83</v>
      </c>
      <c r="N105" s="86">
        <v>1.9262098096239104E-15</v>
      </c>
      <c r="O105" s="86">
        <f>AC93+4*L83</f>
        <v>311.33333333333331</v>
      </c>
      <c r="P105" s="86">
        <f>N105*1.5*((O105-K105)*500/2)</f>
        <v>6.4768804848603977E-11</v>
      </c>
    </row>
    <row r="106" spans="1:20" ht="24.75" x14ac:dyDescent="0.25">
      <c r="A106" s="62" t="s">
        <v>52</v>
      </c>
      <c r="B106" s="86">
        <v>0.99999960898561435</v>
      </c>
      <c r="C106" s="88">
        <f>AC90</f>
        <v>45.666666666666664</v>
      </c>
      <c r="D106" s="86">
        <f>MAX(B106*1.5*((C106-F90)*500/2),0)</f>
        <v>0</v>
      </c>
      <c r="E106" s="62" t="s">
        <v>56</v>
      </c>
      <c r="F106" s="86">
        <v>6.7667230515902979E-4</v>
      </c>
      <c r="G106" s="86">
        <f>AC91+1*L83</f>
        <v>134.66666666666666</v>
      </c>
      <c r="H106" s="86">
        <f>F106*1.5*((G106-F91)*500/2+(G106-F92)*500)</f>
        <v>29.435245274417792</v>
      </c>
      <c r="I106" s="62" t="s">
        <v>60</v>
      </c>
      <c r="J106" s="86">
        <v>8.1971822005136353E-7</v>
      </c>
      <c r="K106" s="86">
        <f>AC92+2*L83</f>
        <v>209.66666666666666</v>
      </c>
      <c r="L106" s="86">
        <f>J106*1.5*((K106-G106)*500/2+(K106-F93)*500)</f>
        <v>6.5884851936628339E-2</v>
      </c>
      <c r="M106" s="62" t="s">
        <v>59</v>
      </c>
      <c r="N106" s="86">
        <v>4.9265029360776094E-9</v>
      </c>
      <c r="O106" s="86">
        <f>AC93+3*L83</f>
        <v>299.33333333333331</v>
      </c>
      <c r="P106" s="86">
        <f>N106*1.5*((O106-K106)*500/2)</f>
        <v>1.6565366122560962E-4</v>
      </c>
    </row>
    <row r="107" spans="1:20" x14ac:dyDescent="0.25">
      <c r="A107" s="86"/>
      <c r="B107" s="86"/>
      <c r="C107" s="89" t="s">
        <v>89</v>
      </c>
      <c r="D107" s="89">
        <f>SUM(D105:D106)</f>
        <v>0</v>
      </c>
      <c r="E107" s="62" t="s">
        <v>52</v>
      </c>
      <c r="F107" s="86">
        <v>0.99932332743040508</v>
      </c>
      <c r="G107" s="86">
        <f>AC91+0*L83</f>
        <v>122.66666666666666</v>
      </c>
      <c r="H107" s="86">
        <f>F107*1.5*((G107-F91)*500/2+(G107-F92)*500)</f>
        <v>29979.699822912142</v>
      </c>
      <c r="I107" s="62" t="s">
        <v>56</v>
      </c>
      <c r="J107" s="86">
        <v>1.2077123517613135E-6</v>
      </c>
      <c r="K107" s="86">
        <f>AC92+1*L83</f>
        <v>197.66666666666666</v>
      </c>
      <c r="L107" s="86">
        <f>J107*1.5*((K107-G107)*500/2+(K107-F93)*500)</f>
        <v>8.6200469106963745E-2</v>
      </c>
      <c r="M107" s="62" t="s">
        <v>60</v>
      </c>
      <c r="N107" s="86">
        <v>1.2159346902765218E-5</v>
      </c>
      <c r="O107" s="86">
        <f>AC93+2*L83</f>
        <v>287.33333333333331</v>
      </c>
      <c r="P107" s="86">
        <f>N107*1.5*((O107-K107)*500/2)</f>
        <v>0.40885803960548039</v>
      </c>
    </row>
    <row r="108" spans="1:20" x14ac:dyDescent="0.25">
      <c r="A108" s="86"/>
      <c r="B108" s="86"/>
      <c r="C108" s="86"/>
      <c r="D108" s="86"/>
      <c r="E108" s="86"/>
      <c r="F108" s="86"/>
      <c r="G108" s="89" t="s">
        <v>79</v>
      </c>
      <c r="H108" s="89">
        <f>SUM(H105:H107)</f>
        <v>30009.135084581587</v>
      </c>
      <c r="I108" s="62" t="s">
        <v>52</v>
      </c>
      <c r="J108" s="86">
        <v>0.99811314105805515</v>
      </c>
      <c r="K108" s="86">
        <f>AC92+0*L83</f>
        <v>185.66666666666666</v>
      </c>
      <c r="L108" s="86">
        <f>J108*1.5*((K108-G107)*500/2+(K108-F93)*500)</f>
        <v>57765.798038734938</v>
      </c>
      <c r="M108" s="62" t="s">
        <v>56</v>
      </c>
      <c r="N108" s="86">
        <v>7.8783628692153905E-3</v>
      </c>
      <c r="O108" s="86">
        <f>AC93+1*L83</f>
        <v>275.33333333333331</v>
      </c>
      <c r="P108" s="86">
        <f>N108*1.5*((O108-K108)*500/2)</f>
        <v>264.90995147736749</v>
      </c>
    </row>
    <row r="109" spans="1:20" x14ac:dyDescent="0.25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9" t="s">
        <v>79</v>
      </c>
      <c r="L109" s="89">
        <f>SUM(L105:L108)</f>
        <v>57765.950124083</v>
      </c>
      <c r="M109" s="62" t="s">
        <v>52</v>
      </c>
      <c r="N109" s="86">
        <v>0.99210947285294204</v>
      </c>
      <c r="O109" s="86">
        <f>AC93+0*L83</f>
        <v>263.33333333333331</v>
      </c>
      <c r="P109" s="86">
        <f>N109*1.5*((O109-K108)*500/2)</f>
        <v>28895.188396841935</v>
      </c>
      <c r="Q109" s="179" t="s">
        <v>80</v>
      </c>
      <c r="R109" s="179"/>
      <c r="S109" s="180">
        <f>D107+H108+L109+P110</f>
        <v>116935.59258067723</v>
      </c>
      <c r="T109" s="180"/>
    </row>
    <row r="110" spans="1:20" x14ac:dyDescent="0.25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9" t="s">
        <v>79</v>
      </c>
      <c r="P110" s="89">
        <f>SUM(P105:P109)</f>
        <v>29160.507372012635</v>
      </c>
      <c r="Q110" s="179"/>
      <c r="R110" s="179"/>
      <c r="S110" s="180"/>
      <c r="T110" s="180"/>
    </row>
    <row r="111" spans="1:20" x14ac:dyDescent="0.25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</row>
    <row r="112" spans="1:20" x14ac:dyDescent="0.25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</row>
    <row r="113" spans="1:34" x14ac:dyDescent="0.25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</row>
    <row r="114" spans="1:34" ht="24.75" thickBot="1" x14ac:dyDescent="0.3">
      <c r="O114" s="131" t="s">
        <v>81</v>
      </c>
      <c r="P114" s="131"/>
      <c r="Q114" s="131">
        <f>(R100+P100+M101+S109)/AC93</f>
        <v>861.61720678546487</v>
      </c>
      <c r="R114" s="131"/>
    </row>
    <row r="115" spans="1:34" x14ac:dyDescent="0.25">
      <c r="A115" s="181" t="s">
        <v>92</v>
      </c>
      <c r="B115" s="182"/>
    </row>
    <row r="116" spans="1:34" ht="15.75" thickBot="1" x14ac:dyDescent="0.3">
      <c r="A116" s="183"/>
      <c r="B116" s="184"/>
    </row>
    <row r="117" spans="1:34" ht="21" x14ac:dyDescent="0.35">
      <c r="A117" s="185" t="s">
        <v>14</v>
      </c>
      <c r="B117" s="18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65"/>
      <c r="O117" s="166" t="s">
        <v>72</v>
      </c>
      <c r="P117" s="166"/>
      <c r="Q117" s="166"/>
      <c r="R117" s="166"/>
      <c r="S117" s="166"/>
      <c r="T117" s="166"/>
      <c r="U117" s="166"/>
      <c r="V117" s="166"/>
    </row>
    <row r="118" spans="1:34" ht="36" x14ac:dyDescent="0.25">
      <c r="A118" s="4" t="s">
        <v>15</v>
      </c>
      <c r="B118" s="4" t="s">
        <v>16</v>
      </c>
      <c r="C118" s="4" t="s">
        <v>31</v>
      </c>
      <c r="D118" s="6" t="s">
        <v>17</v>
      </c>
      <c r="E118" s="6" t="s">
        <v>18</v>
      </c>
      <c r="F118" s="6" t="s">
        <v>19</v>
      </c>
      <c r="G118" s="6" t="s">
        <v>20</v>
      </c>
      <c r="H118" s="6" t="s">
        <v>21</v>
      </c>
      <c r="I118" s="6" t="s">
        <v>22</v>
      </c>
      <c r="J118" s="6" t="s">
        <v>23</v>
      </c>
      <c r="K118" s="6" t="s">
        <v>24</v>
      </c>
      <c r="L118" s="6" t="s">
        <v>25</v>
      </c>
      <c r="M118" s="6" t="s">
        <v>26</v>
      </c>
      <c r="N118" s="8"/>
      <c r="O118" s="167" t="s">
        <v>32</v>
      </c>
      <c r="P118" s="167" t="s">
        <v>35</v>
      </c>
      <c r="Q118" s="167" t="s">
        <v>66</v>
      </c>
      <c r="R118" s="99" t="s">
        <v>67</v>
      </c>
      <c r="S118" s="99" t="s">
        <v>68</v>
      </c>
      <c r="T118" s="167" t="s">
        <v>69</v>
      </c>
      <c r="U118" s="71" t="s">
        <v>33</v>
      </c>
      <c r="V118" s="99" t="s">
        <v>70</v>
      </c>
    </row>
    <row r="119" spans="1:34" x14ac:dyDescent="0.25">
      <c r="A119" s="3" t="s">
        <v>27</v>
      </c>
      <c r="B119" s="3">
        <v>0</v>
      </c>
      <c r="C119" s="3">
        <v>0.3</v>
      </c>
      <c r="D119" s="3">
        <v>243</v>
      </c>
      <c r="E119" s="3">
        <v>1.73</v>
      </c>
      <c r="F119" s="3">
        <v>5</v>
      </c>
      <c r="G119" s="169">
        <v>12</v>
      </c>
      <c r="H119" s="3">
        <v>1820</v>
      </c>
      <c r="I119" s="169">
        <v>19645</v>
      </c>
      <c r="J119" s="3">
        <v>20</v>
      </c>
      <c r="K119" s="3">
        <v>40</v>
      </c>
      <c r="L119" s="3">
        <v>500</v>
      </c>
      <c r="M119" s="3">
        <v>1000</v>
      </c>
      <c r="O119" s="168"/>
      <c r="P119" s="168"/>
      <c r="Q119" s="168"/>
      <c r="R119" s="72" t="s">
        <v>71</v>
      </c>
      <c r="S119" s="72" t="s">
        <v>71</v>
      </c>
      <c r="T119" s="168"/>
      <c r="U119" s="73">
        <v>500</v>
      </c>
      <c r="V119" s="3">
        <v>1.5</v>
      </c>
    </row>
    <row r="120" spans="1:34" x14ac:dyDescent="0.25">
      <c r="A120" s="3" t="s">
        <v>28</v>
      </c>
      <c r="B120" s="3">
        <v>0</v>
      </c>
      <c r="C120" s="3">
        <v>0.3</v>
      </c>
      <c r="D120" s="3">
        <v>254</v>
      </c>
      <c r="E120" s="3">
        <v>1.88</v>
      </c>
      <c r="F120" s="3">
        <v>3</v>
      </c>
      <c r="G120" s="170"/>
      <c r="H120" s="3">
        <v>2720</v>
      </c>
      <c r="I120" s="170"/>
      <c r="J120" s="5"/>
      <c r="K120" s="5"/>
      <c r="L120" s="5"/>
      <c r="M120" s="5"/>
      <c r="O120" s="74">
        <v>1</v>
      </c>
      <c r="P120" s="74">
        <v>106</v>
      </c>
      <c r="Q120" s="74">
        <v>110</v>
      </c>
      <c r="R120" s="74">
        <v>6</v>
      </c>
      <c r="S120" s="74">
        <v>5</v>
      </c>
      <c r="T120" s="74">
        <f>R120*$U$5/60+S120</f>
        <v>55</v>
      </c>
      <c r="U120" s="75"/>
    </row>
    <row r="121" spans="1:34" x14ac:dyDescent="0.25">
      <c r="A121" s="3" t="s">
        <v>29</v>
      </c>
      <c r="B121" s="3">
        <v>0</v>
      </c>
      <c r="C121" s="3">
        <v>0.3</v>
      </c>
      <c r="D121" s="3">
        <v>143</v>
      </c>
      <c r="E121" s="3">
        <v>2.4300000000000002</v>
      </c>
      <c r="F121" s="3">
        <v>8</v>
      </c>
      <c r="G121" s="170"/>
      <c r="H121" s="3">
        <v>3700</v>
      </c>
      <c r="I121" s="170"/>
      <c r="J121" s="5"/>
      <c r="K121" s="140" t="s">
        <v>73</v>
      </c>
      <c r="L121" s="141">
        <v>12</v>
      </c>
      <c r="M121" s="140" t="s">
        <v>74</v>
      </c>
      <c r="N121" s="141">
        <v>19645</v>
      </c>
      <c r="O121" s="74">
        <v>2</v>
      </c>
      <c r="P121" s="74">
        <v>76</v>
      </c>
      <c r="Q121" s="74">
        <v>40</v>
      </c>
      <c r="R121" s="74">
        <v>9</v>
      </c>
      <c r="S121" s="74">
        <v>2</v>
      </c>
      <c r="T121" s="74">
        <f t="shared" ref="T121:T123" si="12">R121*$U$5/60+S121</f>
        <v>77</v>
      </c>
      <c r="U121" s="75"/>
    </row>
    <row r="122" spans="1:34" x14ac:dyDescent="0.25">
      <c r="A122" s="3" t="s">
        <v>30</v>
      </c>
      <c r="B122" s="3">
        <v>0</v>
      </c>
      <c r="C122" s="3">
        <v>0.3</v>
      </c>
      <c r="D122" s="3">
        <v>449</v>
      </c>
      <c r="E122" s="3">
        <v>2.5299999999999998</v>
      </c>
      <c r="F122" s="3">
        <v>4</v>
      </c>
      <c r="G122" s="171"/>
      <c r="H122" s="3">
        <v>4320</v>
      </c>
      <c r="I122" s="171"/>
      <c r="J122" s="5"/>
      <c r="K122" s="140"/>
      <c r="L122" s="141"/>
      <c r="M122" s="140"/>
      <c r="N122" s="141"/>
      <c r="O122" s="74">
        <v>3</v>
      </c>
      <c r="P122" s="74">
        <v>95</v>
      </c>
      <c r="Q122" s="74">
        <v>67</v>
      </c>
      <c r="R122" s="74">
        <v>5</v>
      </c>
      <c r="S122" s="74">
        <v>4</v>
      </c>
      <c r="T122" s="74">
        <f t="shared" si="12"/>
        <v>45.666666666666664</v>
      </c>
      <c r="U122" s="75"/>
    </row>
    <row r="123" spans="1:34" ht="15.75" thickBo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O123" s="74">
        <v>4</v>
      </c>
      <c r="P123" s="74">
        <v>140</v>
      </c>
      <c r="Q123" s="94">
        <v>85</v>
      </c>
      <c r="R123" s="94">
        <v>8</v>
      </c>
      <c r="S123" s="94">
        <v>3</v>
      </c>
      <c r="T123" s="74">
        <f t="shared" si="12"/>
        <v>69.666666666666671</v>
      </c>
    </row>
    <row r="124" spans="1:34" ht="15" customHeight="1" x14ac:dyDescent="0.25">
      <c r="A124" s="142" t="s">
        <v>101</v>
      </c>
      <c r="B124" s="144" t="s">
        <v>107</v>
      </c>
      <c r="C124" s="144"/>
      <c r="D124" s="144"/>
      <c r="E124" s="144"/>
      <c r="F124" s="20" t="s">
        <v>27</v>
      </c>
      <c r="G124" s="20" t="s">
        <v>28</v>
      </c>
      <c r="H124" s="20" t="s">
        <v>29</v>
      </c>
      <c r="I124" s="20" t="s">
        <v>30</v>
      </c>
    </row>
    <row r="125" spans="1:34" ht="15.75" customHeight="1" thickBot="1" x14ac:dyDescent="0.3">
      <c r="A125" s="143"/>
      <c r="B125" s="145"/>
      <c r="C125" s="145"/>
      <c r="D125" s="145"/>
      <c r="E125" s="145"/>
      <c r="F125" s="20">
        <v>168</v>
      </c>
      <c r="G125" s="26">
        <v>84</v>
      </c>
      <c r="H125" s="26">
        <v>84</v>
      </c>
      <c r="I125" s="26">
        <v>252</v>
      </c>
    </row>
    <row r="126" spans="1:34" ht="15.75" customHeight="1" thickBot="1" x14ac:dyDescent="0.3">
      <c r="A126" s="143"/>
      <c r="B126" s="145"/>
      <c r="C126" s="145"/>
      <c r="D126" s="145"/>
      <c r="E126" s="145"/>
      <c r="F126" s="7"/>
      <c r="G126" s="146" t="s">
        <v>27</v>
      </c>
      <c r="H126" s="147"/>
      <c r="I126" s="147"/>
      <c r="J126" s="147"/>
      <c r="K126" s="148"/>
      <c r="L126" s="149" t="s">
        <v>28</v>
      </c>
      <c r="M126" s="150"/>
      <c r="N126" s="150"/>
      <c r="O126" s="150"/>
      <c r="P126" s="151"/>
      <c r="Q126" s="152" t="s">
        <v>29</v>
      </c>
      <c r="R126" s="153"/>
      <c r="S126" s="153"/>
      <c r="T126" s="153"/>
      <c r="U126" s="154"/>
      <c r="V126" s="155" t="s">
        <v>30</v>
      </c>
      <c r="W126" s="156"/>
      <c r="X126" s="156"/>
      <c r="Y126" s="156"/>
      <c r="Z126" s="157"/>
      <c r="AA126" s="158" t="s">
        <v>42</v>
      </c>
      <c r="AB126" s="159"/>
      <c r="AC126" s="160" t="s">
        <v>44</v>
      </c>
      <c r="AD126" s="162" t="s">
        <v>47</v>
      </c>
      <c r="AE126" s="163"/>
      <c r="AF126" s="163"/>
      <c r="AG126" s="164"/>
      <c r="AH126" s="138" t="s">
        <v>62</v>
      </c>
    </row>
    <row r="127" spans="1:34" ht="36.75" x14ac:dyDescent="0.25">
      <c r="A127" s="21" t="s">
        <v>32</v>
      </c>
      <c r="B127" s="22" t="s">
        <v>37</v>
      </c>
      <c r="C127" s="23" t="s">
        <v>33</v>
      </c>
      <c r="D127" s="22" t="s">
        <v>38</v>
      </c>
      <c r="E127" s="22" t="s">
        <v>34</v>
      </c>
      <c r="F127" s="25" t="s">
        <v>35</v>
      </c>
      <c r="G127" s="27" t="s">
        <v>39</v>
      </c>
      <c r="H127" s="10" t="s">
        <v>40</v>
      </c>
      <c r="I127" s="10" t="s">
        <v>45</v>
      </c>
      <c r="J127" s="10" t="s">
        <v>46</v>
      </c>
      <c r="K127" s="28" t="s">
        <v>41</v>
      </c>
      <c r="L127" s="30" t="s">
        <v>39</v>
      </c>
      <c r="M127" s="13" t="s">
        <v>40</v>
      </c>
      <c r="N127" s="13" t="s">
        <v>45</v>
      </c>
      <c r="O127" s="13" t="s">
        <v>46</v>
      </c>
      <c r="P127" s="31" t="s">
        <v>41</v>
      </c>
      <c r="Q127" s="33" t="s">
        <v>39</v>
      </c>
      <c r="R127" s="12" t="s">
        <v>40</v>
      </c>
      <c r="S127" s="12" t="s">
        <v>45</v>
      </c>
      <c r="T127" s="12" t="s">
        <v>46</v>
      </c>
      <c r="U127" s="34" t="s">
        <v>41</v>
      </c>
      <c r="V127" s="36" t="s">
        <v>39</v>
      </c>
      <c r="W127" s="11" t="s">
        <v>40</v>
      </c>
      <c r="X127" s="11" t="s">
        <v>45</v>
      </c>
      <c r="Y127" s="11" t="s">
        <v>46</v>
      </c>
      <c r="Z127" s="37" t="s">
        <v>41</v>
      </c>
      <c r="AA127" s="39" t="s">
        <v>41</v>
      </c>
      <c r="AB127" s="40" t="s">
        <v>43</v>
      </c>
      <c r="AC127" s="161"/>
      <c r="AD127" s="43" t="s">
        <v>27</v>
      </c>
      <c r="AE127" s="1" t="s">
        <v>28</v>
      </c>
      <c r="AF127" s="1" t="s">
        <v>29</v>
      </c>
      <c r="AG127" s="1" t="s">
        <v>30</v>
      </c>
      <c r="AH127" s="139"/>
    </row>
    <row r="128" spans="1:34" x14ac:dyDescent="0.25">
      <c r="A128" s="24">
        <v>3</v>
      </c>
      <c r="B128" s="9">
        <v>5</v>
      </c>
      <c r="C128" s="9">
        <v>500</v>
      </c>
      <c r="D128" s="9">
        <v>4</v>
      </c>
      <c r="E128" s="48">
        <f>B128*C128/60+D128</f>
        <v>45.666666666666664</v>
      </c>
      <c r="F128" s="14">
        <v>95</v>
      </c>
      <c r="G128" s="49">
        <f>B$5*(1-AD128*C$5)</f>
        <v>0</v>
      </c>
      <c r="H128" s="50">
        <f>G128+E128</f>
        <v>45.666666666666664</v>
      </c>
      <c r="I128" s="15">
        <f>(H128/D$5)^E$5</f>
        <v>5.5463587496332782E-2</v>
      </c>
      <c r="J128" s="15">
        <f>(G128/D$5)^E$5</f>
        <v>0</v>
      </c>
      <c r="K128" s="29">
        <f>1-EXP(J128-I128)</f>
        <v>5.3953529036131931E-2</v>
      </c>
      <c r="L128" s="51">
        <f>B$6*(1-AE128*C$6)</f>
        <v>0</v>
      </c>
      <c r="M128" s="52">
        <f>L128+E128</f>
        <v>45.666666666666664</v>
      </c>
      <c r="N128" s="17">
        <f>(M128/D$6)^E$6</f>
        <v>3.9715434673642101E-2</v>
      </c>
      <c r="O128" s="17">
        <f>(L128/D$6)^E$6</f>
        <v>0</v>
      </c>
      <c r="P128" s="32">
        <f>1-EXP(O128-N128)</f>
        <v>3.8937114582545562E-2</v>
      </c>
      <c r="Q128" s="53">
        <f>B$7*(1-AF128*C$7)</f>
        <v>0</v>
      </c>
      <c r="R128" s="54">
        <f>Q128+E128</f>
        <v>45.666666666666664</v>
      </c>
      <c r="S128" s="16">
        <f>(R128/D$7)^E$7</f>
        <v>6.2425173515745024E-2</v>
      </c>
      <c r="T128" s="16">
        <f>(Q128/D$7)^E$7</f>
        <v>0</v>
      </c>
      <c r="U128" s="35">
        <f>1-EXP(T128-S128)</f>
        <v>6.0516641579816954E-2</v>
      </c>
      <c r="V128" s="55">
        <f>B$8*(1-AG128*C$8)</f>
        <v>0</v>
      </c>
      <c r="W128" s="56">
        <f>V128+E128</f>
        <v>45.666666666666664</v>
      </c>
      <c r="X128" s="18">
        <f>(W128/D$8)^E$8</f>
        <v>3.0803709406480337E-3</v>
      </c>
      <c r="Y128" s="18">
        <f>(V128/D$8)^E$8</f>
        <v>0</v>
      </c>
      <c r="Z128" s="38">
        <f>1-EXP(Y128-X128)</f>
        <v>3.0756314657778283E-3</v>
      </c>
      <c r="AA128" s="41">
        <f>K128*P128*U128*Z128</f>
        <v>3.9101438569080559E-7</v>
      </c>
      <c r="AB128" s="42">
        <f>1-AA128</f>
        <v>0.99999960898561435</v>
      </c>
      <c r="AC128" s="47">
        <f>(AD128*F$5+AE128*F$6+AF128*F$7+AG128*F$8)+E128</f>
        <v>45.666666666666664</v>
      </c>
      <c r="AD128" s="43">
        <v>0</v>
      </c>
      <c r="AE128" s="1">
        <v>0</v>
      </c>
      <c r="AF128" s="1">
        <v>0</v>
      </c>
      <c r="AG128" s="1">
        <v>0</v>
      </c>
      <c r="AH128" s="44">
        <v>67</v>
      </c>
    </row>
    <row r="129" spans="1:34" x14ac:dyDescent="0.25">
      <c r="A129" s="24">
        <v>2</v>
      </c>
      <c r="B129" s="9">
        <v>9</v>
      </c>
      <c r="C129" s="9">
        <v>500</v>
      </c>
      <c r="D129" s="9">
        <v>2</v>
      </c>
      <c r="E129" s="9">
        <f t="shared" ref="E129:E131" si="13">B129*C129/60+D129</f>
        <v>77</v>
      </c>
      <c r="F129" s="14">
        <v>76</v>
      </c>
      <c r="G129" s="49">
        <f>H128*(1-AD129*C$5)</f>
        <v>45.666666666666664</v>
      </c>
      <c r="H129" s="50">
        <f>G129+E129</f>
        <v>122.66666666666666</v>
      </c>
      <c r="I129" s="15">
        <f>(H129/D$5)^E$5</f>
        <v>0.30647715135734394</v>
      </c>
      <c r="J129" s="15">
        <f>(G129/D$5)^E$5</f>
        <v>5.5463587496332782E-2</v>
      </c>
      <c r="K129" s="29">
        <f>1-EXP(J129-I129)</f>
        <v>0.22198818135678478</v>
      </c>
      <c r="L129" s="51">
        <f>M128*(1-AE129*C$6)</f>
        <v>45.666666666666664</v>
      </c>
      <c r="M129" s="52">
        <f>L129+E129</f>
        <v>122.66666666666666</v>
      </c>
      <c r="N129" s="17">
        <f>(M129/D$6)^E$6</f>
        <v>0.25451802994245737</v>
      </c>
      <c r="O129" s="17">
        <f>(L129/D$6)^E$6</f>
        <v>3.9715434673642101E-2</v>
      </c>
      <c r="P129" s="32">
        <f>1-EXP(O129-N129)</f>
        <v>0.19329932901054481</v>
      </c>
      <c r="Q129" s="53">
        <f>R128*(1-AF129*C$7)</f>
        <v>45.666666666666664</v>
      </c>
      <c r="R129" s="54">
        <f>Q129+E129</f>
        <v>122.66666666666666</v>
      </c>
      <c r="S129" s="16">
        <f>(R129/D$7)^E$7</f>
        <v>0.68887270848465465</v>
      </c>
      <c r="T129" s="16">
        <f>(Q129/D$7)^E$7</f>
        <v>6.2425173515745024E-2</v>
      </c>
      <c r="U129" s="35">
        <f>1-EXP(T129-S129)</f>
        <v>0.46551282060476484</v>
      </c>
      <c r="V129" s="55">
        <f>W128*(1-AG129*C$8)</f>
        <v>45.666666666666664</v>
      </c>
      <c r="W129" s="56">
        <f>V129+E129</f>
        <v>122.66666666666666</v>
      </c>
      <c r="X129" s="18">
        <f>(W129/D$8)^E$8</f>
        <v>3.7522776286050503E-2</v>
      </c>
      <c r="Y129" s="18">
        <f>(V129/D$8)^E$8</f>
        <v>3.0803709406480337E-3</v>
      </c>
      <c r="Z129" s="38">
        <f>1-EXP(Y129-X129)</f>
        <v>3.3856017186915555E-2</v>
      </c>
      <c r="AA129" s="41">
        <f>K129*P129*U129*Z129</f>
        <v>6.7628181964517946E-4</v>
      </c>
      <c r="AB129" s="42">
        <f>1-AA129</f>
        <v>0.99932371818035481</v>
      </c>
      <c r="AC129" s="47">
        <f>AF129*F$7+E129+AC128</f>
        <v>122.66666666666666</v>
      </c>
      <c r="AD129" s="43">
        <v>0</v>
      </c>
      <c r="AE129" s="1">
        <v>0</v>
      </c>
      <c r="AF129" s="1">
        <v>0</v>
      </c>
      <c r="AG129" s="1">
        <v>0</v>
      </c>
      <c r="AH129" s="44">
        <v>40</v>
      </c>
    </row>
    <row r="130" spans="1:34" x14ac:dyDescent="0.25">
      <c r="A130" s="57">
        <v>4</v>
      </c>
      <c r="B130" s="58">
        <v>8</v>
      </c>
      <c r="C130" s="58">
        <v>500</v>
      </c>
      <c r="D130" s="58">
        <v>3</v>
      </c>
      <c r="E130" s="66">
        <f t="shared" si="13"/>
        <v>69.666666666666671</v>
      </c>
      <c r="F130" s="67">
        <v>140</v>
      </c>
      <c r="G130" s="68">
        <f>H129*(1-AD130*C$5)</f>
        <v>122.66666666666666</v>
      </c>
      <c r="H130" s="69">
        <f>G130+E130</f>
        <v>192.33333333333331</v>
      </c>
      <c r="I130" s="70">
        <f>(H130/D$5)^E$5</f>
        <v>0.6672914077381038</v>
      </c>
      <c r="J130" s="70">
        <f>(G130/D$5)^E$5</f>
        <v>0.30647715135734394</v>
      </c>
      <c r="K130" s="29">
        <f>1-EXP(J130-I130)</f>
        <v>0.30289153010754433</v>
      </c>
      <c r="L130" s="51">
        <f>M129*(1-AE130*C$6)</f>
        <v>85.86666666666666</v>
      </c>
      <c r="M130" s="52">
        <f>L130+E130</f>
        <v>155.53333333333333</v>
      </c>
      <c r="N130" s="17">
        <f>(M130/D$6)^E$6</f>
        <v>0.39768641404513894</v>
      </c>
      <c r="O130" s="17">
        <f>(L130/D$6)^E$6</f>
        <v>0.13016759122196553</v>
      </c>
      <c r="P130" s="32">
        <f>1-EXP(O130-N130)</f>
        <v>0.23472407416617413</v>
      </c>
      <c r="Q130" s="53">
        <f>R129*(1-AF130*C$7)</f>
        <v>85.86666666666666</v>
      </c>
      <c r="R130" s="54">
        <f>Q130+E130</f>
        <v>155.53333333333333</v>
      </c>
      <c r="S130" s="16">
        <f>(R130/D$7)^E$7</f>
        <v>1.2264913361397396</v>
      </c>
      <c r="T130" s="16">
        <f>(Q130/D$7)^E$7</f>
        <v>0.28955243173642403</v>
      </c>
      <c r="U130" s="35">
        <f>1-EXP(T130-S130)</f>
        <v>0.60817458347464404</v>
      </c>
      <c r="V130" s="55">
        <f>W129*(1-AG130*C$8)</f>
        <v>122.66666666666666</v>
      </c>
      <c r="W130" s="56">
        <f>V130+E130</f>
        <v>192.33333333333331</v>
      </c>
      <c r="X130" s="18">
        <f>(W130/D$8)^E$8</f>
        <v>0.11707786390726449</v>
      </c>
      <c r="Y130" s="18">
        <f>(V130/D$8)^E$8</f>
        <v>3.7522776286050503E-2</v>
      </c>
      <c r="Z130" s="38">
        <f>1-EXP(Y130-X130)</f>
        <v>7.647285634617873E-2</v>
      </c>
      <c r="AA130" s="41">
        <f>K130*P130*U130*Z130</f>
        <v>3.3065899551614026E-3</v>
      </c>
      <c r="AB130" s="42">
        <f>1-AA130</f>
        <v>0.99669341004483858</v>
      </c>
      <c r="AC130" s="47">
        <f>(AF130*F$7)+E130+AC129</f>
        <v>200.33333333333331</v>
      </c>
      <c r="AD130" s="77">
        <v>0</v>
      </c>
      <c r="AE130" s="78">
        <v>1</v>
      </c>
      <c r="AF130" s="78">
        <v>1</v>
      </c>
      <c r="AG130" s="78">
        <v>0</v>
      </c>
      <c r="AH130" s="79">
        <v>85</v>
      </c>
    </row>
    <row r="131" spans="1:34" ht="15.75" thickBot="1" x14ac:dyDescent="0.3">
      <c r="A131" s="76">
        <v>1</v>
      </c>
      <c r="B131" s="58">
        <v>6</v>
      </c>
      <c r="C131" s="58">
        <v>500</v>
      </c>
      <c r="D131" s="58">
        <v>5</v>
      </c>
      <c r="E131" s="66">
        <f t="shared" si="13"/>
        <v>55</v>
      </c>
      <c r="F131" s="67">
        <v>106</v>
      </c>
      <c r="G131" s="68">
        <f>H130*(1-AD131*C$5)</f>
        <v>134.6333333333333</v>
      </c>
      <c r="H131" s="69">
        <f>G131+E131</f>
        <v>189.6333333333333</v>
      </c>
      <c r="I131" s="70">
        <f>(H131/D$5)^E$5</f>
        <v>0.65116873667608699</v>
      </c>
      <c r="J131" s="70">
        <f>(G131/D$5)^E$5</f>
        <v>0.36002705832955123</v>
      </c>
      <c r="K131" s="29">
        <f>1-EXP(J131-I131)</f>
        <v>0.25259022126518538</v>
      </c>
      <c r="L131" s="51">
        <f>M130*(1-AE131*C$6)</f>
        <v>108.87333333333332</v>
      </c>
      <c r="M131" s="52">
        <f>L131+E131</f>
        <v>163.87333333333333</v>
      </c>
      <c r="N131" s="17">
        <f>(M131/D$6)^E$6</f>
        <v>0.43872076836143109</v>
      </c>
      <c r="O131" s="17">
        <f>(L131/D$6)^E$6</f>
        <v>0.20338788018145684</v>
      </c>
      <c r="P131" s="32">
        <f>1-EXP(O131-N131)</f>
        <v>0.20969227826402548</v>
      </c>
      <c r="Q131" s="53">
        <f>R130*(1-AF131*C$7)</f>
        <v>108.87333333333332</v>
      </c>
      <c r="R131" s="54">
        <f>Q131+E131</f>
        <v>163.87333333333333</v>
      </c>
      <c r="S131" s="16">
        <f>(R131/D$7)^E$7</f>
        <v>1.3924787239161251</v>
      </c>
      <c r="T131" s="16">
        <f>(Q131/D$7)^E$7</f>
        <v>0.5155285504982785</v>
      </c>
      <c r="U131" s="35">
        <f>1-EXP(T131-S131)</f>
        <v>0.58395014136633883</v>
      </c>
      <c r="V131" s="55">
        <f>W130*(1-AG131*C$8)</f>
        <v>192.33333333333331</v>
      </c>
      <c r="W131" s="56">
        <f>V131+E131</f>
        <v>247.33333333333331</v>
      </c>
      <c r="X131" s="18">
        <f>(W131/D$8)^E$8</f>
        <v>0.221218713919872</v>
      </c>
      <c r="Y131" s="18">
        <f>(V131/D$8)^E$8</f>
        <v>0.11707786390726449</v>
      </c>
      <c r="Z131" s="38">
        <f>1-EXP(Y131-X131)</f>
        <v>9.8901631234137977E-2</v>
      </c>
      <c r="AA131" s="41">
        <f>K131*P131*U131*Z131</f>
        <v>3.0589909644979994E-3</v>
      </c>
      <c r="AB131" s="42">
        <f>1-AA131</f>
        <v>0.99694100903550198</v>
      </c>
      <c r="AC131" s="47">
        <f>(AF131*F$7)+E131+AC130</f>
        <v>263.33333333333331</v>
      </c>
      <c r="AD131" s="80">
        <v>1</v>
      </c>
      <c r="AE131" s="45">
        <v>1</v>
      </c>
      <c r="AF131" s="81">
        <v>1</v>
      </c>
      <c r="AG131" s="45">
        <v>0</v>
      </c>
      <c r="AH131" s="82">
        <v>110</v>
      </c>
    </row>
    <row r="132" spans="1:34" ht="18.75" x14ac:dyDescent="0.3">
      <c r="A132" s="132" t="s">
        <v>53</v>
      </c>
      <c r="B132" s="132"/>
      <c r="C132" s="132"/>
      <c r="D132" s="132"/>
      <c r="E132" s="132"/>
      <c r="F132" s="132"/>
      <c r="G132" s="132"/>
      <c r="H132" s="132"/>
      <c r="I132" s="132"/>
      <c r="J132" s="132"/>
      <c r="AG132" s="46"/>
    </row>
    <row r="133" spans="1:34" ht="15.75" x14ac:dyDescent="0.25">
      <c r="A133" s="19" t="s">
        <v>54</v>
      </c>
      <c r="B133" s="60" t="s">
        <v>49</v>
      </c>
      <c r="C133" s="61" t="s">
        <v>50</v>
      </c>
      <c r="D133" s="19" t="s">
        <v>48</v>
      </c>
      <c r="E133" s="60" t="s">
        <v>57</v>
      </c>
      <c r="F133" s="61" t="s">
        <v>50</v>
      </c>
      <c r="G133" s="19" t="s">
        <v>82</v>
      </c>
      <c r="H133" s="60" t="s">
        <v>61</v>
      </c>
      <c r="I133" s="61" t="s">
        <v>50</v>
      </c>
      <c r="J133" s="19" t="s">
        <v>58</v>
      </c>
      <c r="K133" s="83" t="s">
        <v>84</v>
      </c>
      <c r="L133" s="61" t="s">
        <v>50</v>
      </c>
      <c r="M133" s="61" t="s">
        <v>85</v>
      </c>
      <c r="O133" s="174" t="s">
        <v>64</v>
      </c>
      <c r="P133" s="174"/>
      <c r="Q133" s="175" t="s">
        <v>109</v>
      </c>
      <c r="R133" s="175"/>
    </row>
    <row r="134" spans="1:34" ht="24.75" x14ac:dyDescent="0.25">
      <c r="A134" s="61" t="s">
        <v>51</v>
      </c>
      <c r="B134" s="1">
        <f>AA128</f>
        <v>3.9101438569080559E-7</v>
      </c>
      <c r="C134" s="59">
        <f>MAX(AC128+1*L121-F128,0)</f>
        <v>0</v>
      </c>
      <c r="D134" s="62" t="s">
        <v>55</v>
      </c>
      <c r="E134" s="1">
        <f>AA128*AA129</f>
        <v>2.6443592026242004E-10</v>
      </c>
      <c r="F134" s="1">
        <f>MAX(AC129+2*L121-F129,0)</f>
        <v>70.666666666666657</v>
      </c>
      <c r="G134" s="62" t="s">
        <v>59</v>
      </c>
      <c r="H134" s="1">
        <f>AA128*AA129*AA130</f>
        <v>8.7438115772357977E-13</v>
      </c>
      <c r="I134" s="1">
        <f>AC130+3*L121-F130</f>
        <v>96.333333333333314</v>
      </c>
      <c r="J134" s="62" t="s">
        <v>83</v>
      </c>
      <c r="K134" s="1">
        <f>AA128*AA129*AA130*AA131</f>
        <v>2.6747240610037307E-15</v>
      </c>
      <c r="L134" s="1">
        <f>AC131+4*L121-F131</f>
        <v>205.33333333333331</v>
      </c>
      <c r="M134" s="1">
        <f>B134*C134*AH128+E134*F134*AH129+H134*I134*AH130+K134*L134*AH131</f>
        <v>7.5469233875572491E-7</v>
      </c>
      <c r="O134" s="1" t="s">
        <v>27</v>
      </c>
      <c r="P134" s="1">
        <f>H119</f>
        <v>1820</v>
      </c>
      <c r="Q134" s="1">
        <f>(K128*(1-P128)*(1-U128)*(1-Z128))+(P128*(1-K128)*(1-U128)*(1-Z128))+(U128*(1-K128)*(1-P128)*(1-Z128))+(Z128*(1-K128)*(1-P128)*(1-U128))</f>
        <v>0.1405459062810282</v>
      </c>
      <c r="R134" s="1">
        <f>Q134*(L$7*(J$5*K$5+L$5)+I$5)</f>
        <v>4953.5404668748388</v>
      </c>
    </row>
    <row r="135" spans="1:34" ht="24.75" x14ac:dyDescent="0.25">
      <c r="A135" s="62" t="s">
        <v>52</v>
      </c>
      <c r="B135" s="1">
        <f>AB128</f>
        <v>0.99999960898561435</v>
      </c>
      <c r="C135" s="59">
        <f>MAX(AC128-F128,0)</f>
        <v>0</v>
      </c>
      <c r="D135" s="62" t="s">
        <v>56</v>
      </c>
      <c r="E135" s="1">
        <f>AA128*AB129+AA129*AB128</f>
        <v>6.7667230515902979E-4</v>
      </c>
      <c r="F135" s="1">
        <f>MAX(AC129+1*L121-F129,0)</f>
        <v>58.666666666666657</v>
      </c>
      <c r="G135" s="62" t="s">
        <v>60</v>
      </c>
      <c r="H135" s="1">
        <f>AA128*AA129*AB130+AA129*AA130*AB128+AA128*AA130*AB129</f>
        <v>2.2377414087138642E-6</v>
      </c>
      <c r="I135" s="1">
        <f>AC130+2*L121-F130</f>
        <v>84.333333333333314</v>
      </c>
      <c r="J135" s="62" t="s">
        <v>59</v>
      </c>
      <c r="K135">
        <f>AB128*AA129*AA130*AA131+AB129*AA128*AA130*AA131*+AB130*AA128*AA129*AA131+AB131*AA128*AA129*AA130</f>
        <v>6.8413438553616617E-9</v>
      </c>
      <c r="L135" s="1">
        <f>AC131+3*L121-F131</f>
        <v>193.33333333333331</v>
      </c>
      <c r="M135" s="1">
        <f>B135*C135*AH128+E135*F135*AH129+H135*I135*AH130+K135*L135*AH131</f>
        <v>1.6041107116839775</v>
      </c>
      <c r="O135" s="1" t="s">
        <v>28</v>
      </c>
      <c r="P135" s="1">
        <f>2*H120</f>
        <v>5440</v>
      </c>
      <c r="Q135" s="1">
        <f t="shared" ref="Q135:Q137" si="14">(K129*(1-P129)*(1-U129)*(1-Z129))+(P129*(1-K129)*(1-U129)*(1-Z129))+(U129*(1-K129)*(1-P129)*(1-Z129))+(Z129*(1-K129)*(1-P129)*(1-U129))</f>
        <v>0.4637660892509754</v>
      </c>
      <c r="R135" s="1">
        <f t="shared" ref="R135:R137" si="15">Q135*(L$7*(J$5*K$5+L$5)+I$5)</f>
        <v>16345.435815650628</v>
      </c>
    </row>
    <row r="136" spans="1:34" ht="24.75" x14ac:dyDescent="0.25">
      <c r="A136" s="1"/>
      <c r="B136" s="1"/>
      <c r="C136" s="1"/>
      <c r="D136" s="62" t="s">
        <v>52</v>
      </c>
      <c r="E136" s="1">
        <f>AB128*AB129</f>
        <v>0.99932332743040508</v>
      </c>
      <c r="F136" s="59">
        <f>MAX(AC129-F129,0)</f>
        <v>46.666666666666657</v>
      </c>
      <c r="G136" s="62" t="s">
        <v>56</v>
      </c>
      <c r="H136" s="1">
        <f>AA128*AB129*AB130+AA129*AB128*AB130*+AA130*AB128*AB129</f>
        <v>2.6167413855608188E-6</v>
      </c>
      <c r="I136" s="1">
        <f>AC130+1*L121-F130</f>
        <v>72.333333333333314</v>
      </c>
      <c r="J136" s="62" t="s">
        <v>60</v>
      </c>
      <c r="K136" s="1">
        <f>AA128*AA129*AB130*AB131 + AA128*AA130*AB129*AB131 + AA128*AA131*AB129*AB130 + AA129*AA130*AB128*AB131 + AA129*AA131*AB128*AB130 + AA130*AA131*AB128*AB129</f>
        <v>1.4401970589799538E-5</v>
      </c>
      <c r="L136" s="1">
        <f>AC131+2*L121-F131</f>
        <v>181.33333333333331</v>
      </c>
      <c r="M136" s="1">
        <f>B136*C136*AH128+E136*F136*AH129+H136*I136*AH130+K136*L136*AH131</f>
        <v>1865.7069044417392</v>
      </c>
      <c r="O136" s="1" t="s">
        <v>29</v>
      </c>
      <c r="P136" s="1">
        <f>2*(F121*(J119*K119+L119)+H121)</f>
        <v>28200</v>
      </c>
      <c r="Q136" s="1">
        <f t="shared" si="14"/>
        <v>0.45871142114641927</v>
      </c>
      <c r="R136" s="1">
        <f t="shared" si="15"/>
        <v>16167.284038305548</v>
      </c>
    </row>
    <row r="137" spans="1:34" ht="24.75" x14ac:dyDescent="0.25">
      <c r="A137" s="1"/>
      <c r="B137" s="1"/>
      <c r="C137" s="1"/>
      <c r="D137" s="1"/>
      <c r="E137" s="1"/>
      <c r="F137" s="1"/>
      <c r="G137" s="62" t="s">
        <v>52</v>
      </c>
      <c r="H137" s="1">
        <f>AB128*AB129*AB130</f>
        <v>0.99601897495396519</v>
      </c>
      <c r="I137" s="63">
        <f>AC130-F130</f>
        <v>60.333333333333314</v>
      </c>
      <c r="J137" s="62" t="s">
        <v>56</v>
      </c>
      <c r="K137" s="1">
        <f>AA128*AB129*AB130*AB131+AA129*AB128*AB130*AB131+AA130*AB128*AB129*AB131+AA131*AB128*AB129*AB130</f>
        <v>7.0134292741926042E-3</v>
      </c>
      <c r="L137" s="1">
        <f>AC131+1*L121-F131</f>
        <v>169.33333333333331</v>
      </c>
      <c r="M137" s="1">
        <f>B137*C137*AH128+E137*F137*AH129+H137*I137*AH130+K137*L137*AH131</f>
        <v>5238.5541191695447</v>
      </c>
      <c r="O137" s="1" t="s">
        <v>30</v>
      </c>
      <c r="P137" s="1">
        <v>0</v>
      </c>
      <c r="Q137" s="1">
        <f t="shared" si="14"/>
        <v>0.46871747386164347</v>
      </c>
      <c r="R137" s="1">
        <f t="shared" si="15"/>
        <v>16519.947366253626</v>
      </c>
    </row>
    <row r="138" spans="1:34" ht="30" x14ac:dyDescent="0.25">
      <c r="I138" s="84"/>
      <c r="J138" s="62" t="s">
        <v>52</v>
      </c>
      <c r="K138" s="85">
        <f>AB128*AB129*AB130*AB131</f>
        <v>0.99297216190911242</v>
      </c>
      <c r="L138" s="1">
        <f>AC131+0*L121-F131</f>
        <v>157.33333333333331</v>
      </c>
      <c r="M138" s="1">
        <f>B138*C138*AH128+E138*F138*AH129+H138*I138*AH130+K138*L138*AH131</f>
        <v>17185.038215440371</v>
      </c>
      <c r="O138" s="64" t="s">
        <v>65</v>
      </c>
      <c r="P138" s="65">
        <f>SUM(P134:P137)</f>
        <v>35460</v>
      </c>
      <c r="Q138" s="96" t="s">
        <v>108</v>
      </c>
      <c r="R138" s="97">
        <f>SUM(R134:R137)</f>
        <v>53986.207687084643</v>
      </c>
    </row>
    <row r="139" spans="1:34" x14ac:dyDescent="0.25">
      <c r="L139" s="176" t="s">
        <v>63</v>
      </c>
      <c r="M139" s="177">
        <f>SUM(M134:M138)</f>
        <v>24290.90335051803</v>
      </c>
    </row>
    <row r="140" spans="1:34" x14ac:dyDescent="0.25">
      <c r="L140" s="176"/>
      <c r="M140" s="177"/>
    </row>
    <row r="141" spans="1:34" x14ac:dyDescent="0.25">
      <c r="A141" s="178" t="s">
        <v>90</v>
      </c>
      <c r="B141" s="178"/>
      <c r="C141" s="178"/>
      <c r="D141" s="178"/>
      <c r="E141" s="178"/>
      <c r="F141" s="178"/>
      <c r="G141" s="178"/>
      <c r="H141" s="178"/>
      <c r="I141" s="178"/>
      <c r="J141" s="178"/>
      <c r="K141" s="178"/>
      <c r="L141" s="178"/>
      <c r="M141" s="178"/>
      <c r="N141" s="178"/>
    </row>
    <row r="142" spans="1:34" ht="15.75" x14ac:dyDescent="0.25">
      <c r="A142" s="87" t="s">
        <v>76</v>
      </c>
      <c r="B142" s="62" t="s">
        <v>49</v>
      </c>
      <c r="C142" s="90" t="s">
        <v>102</v>
      </c>
      <c r="D142" s="62" t="s">
        <v>88</v>
      </c>
      <c r="E142" s="87" t="s">
        <v>75</v>
      </c>
      <c r="F142" s="62" t="s">
        <v>57</v>
      </c>
      <c r="G142" s="90" t="s">
        <v>87</v>
      </c>
      <c r="H142" s="62" t="s">
        <v>88</v>
      </c>
      <c r="I142" s="87" t="s">
        <v>86</v>
      </c>
      <c r="J142" s="62" t="s">
        <v>61</v>
      </c>
      <c r="K142" s="90" t="s">
        <v>103</v>
      </c>
      <c r="L142" s="62" t="s">
        <v>88</v>
      </c>
      <c r="M142" s="87" t="s">
        <v>77</v>
      </c>
      <c r="N142" s="62" t="s">
        <v>84</v>
      </c>
      <c r="O142" s="90" t="s">
        <v>78</v>
      </c>
      <c r="P142" s="62" t="s">
        <v>88</v>
      </c>
    </row>
    <row r="143" spans="1:34" ht="24.75" x14ac:dyDescent="0.25">
      <c r="A143" s="62" t="s">
        <v>51</v>
      </c>
      <c r="B143" s="86">
        <v>3.9101438569080559E-7</v>
      </c>
      <c r="C143" s="86">
        <f>AC128+1*L121</f>
        <v>57.666666666666664</v>
      </c>
      <c r="D143" s="86">
        <f>MAX(B143*1.5*((C143-F128)*500/2),0)</f>
        <v>0</v>
      </c>
      <c r="E143" s="62" t="s">
        <v>55</v>
      </c>
      <c r="F143" s="86">
        <v>2.6443592026242004E-10</v>
      </c>
      <c r="G143" s="86">
        <f>AC129+2*L121</f>
        <v>146.66666666666666</v>
      </c>
      <c r="H143" s="86">
        <f>F143*1.5*((G143-F129)*500/2+(G143-F130)*500 + (G143-F131)*500)</f>
        <v>1.6395027056270037E-5</v>
      </c>
      <c r="I143" s="62" t="s">
        <v>59</v>
      </c>
      <c r="J143" s="86">
        <v>8.7438115772357977E-13</v>
      </c>
      <c r="K143" s="86">
        <f>AC130+3*L121</f>
        <v>236.33333333333331</v>
      </c>
      <c r="L143" s="86">
        <f>J143*1.5*((K143-G143)*500/2+(K143-G143)*500)</f>
        <v>8.8203199285366108E-8</v>
      </c>
      <c r="M143" s="62" t="s">
        <v>83</v>
      </c>
      <c r="N143" s="86">
        <v>2.6747240610037307E-15</v>
      </c>
      <c r="O143" s="86">
        <f>AC131+4*L121</f>
        <v>311.33333333333331</v>
      </c>
      <c r="P143" s="86">
        <f>N143*1.5*((O143-K143)*500/2)</f>
        <v>7.5226614215729924E-11</v>
      </c>
    </row>
    <row r="144" spans="1:34" ht="24.75" x14ac:dyDescent="0.25">
      <c r="A144" s="62" t="s">
        <v>52</v>
      </c>
      <c r="B144" s="86">
        <v>0.99999960898561435</v>
      </c>
      <c r="C144" s="88">
        <f>AC128</f>
        <v>45.666666666666664</v>
      </c>
      <c r="D144" s="86">
        <f>MAX(B144*1.5*((C144-F128)*500/2),0)</f>
        <v>0</v>
      </c>
      <c r="E144" s="62" t="s">
        <v>56</v>
      </c>
      <c r="F144" s="86">
        <v>6.7667230515902979E-4</v>
      </c>
      <c r="G144" s="86">
        <f>AC129+1*L121</f>
        <v>134.66666666666666</v>
      </c>
      <c r="H144" s="86">
        <f>F144*1.5*((G144-F129)*500/2+(G144-F131)*500)</f>
        <v>29.435245274417792</v>
      </c>
      <c r="I144" s="62" t="s">
        <v>60</v>
      </c>
      <c r="J144" s="86">
        <v>2.2377414087138642E-6</v>
      </c>
      <c r="K144" s="86">
        <f>AC130+2*L121</f>
        <v>224.33333333333331</v>
      </c>
      <c r="L144" s="86">
        <f>J144*1.5*((K144-F130)*500/2+(K144-G144)*500)</f>
        <v>0.22125668178658328</v>
      </c>
      <c r="M144" s="62" t="s">
        <v>59</v>
      </c>
      <c r="N144" s="86">
        <v>6.8413438553616617E-9</v>
      </c>
      <c r="O144" s="86">
        <f>AC131+3*L121</f>
        <v>299.33333333333331</v>
      </c>
      <c r="P144" s="86">
        <f>N144*1.5*((O144-K144)*500/2)</f>
        <v>1.9241279593204674E-4</v>
      </c>
    </row>
    <row r="145" spans="1:22" x14ac:dyDescent="0.25">
      <c r="A145" s="86"/>
      <c r="B145" s="86"/>
      <c r="C145" s="89" t="s">
        <v>89</v>
      </c>
      <c r="D145" s="89">
        <f>SUM(D143:D144)</f>
        <v>0</v>
      </c>
      <c r="E145" s="62" t="s">
        <v>52</v>
      </c>
      <c r="F145" s="86">
        <v>0.99932332743040508</v>
      </c>
      <c r="G145" s="86">
        <f>AC129+0*L121</f>
        <v>122.66666666666666</v>
      </c>
      <c r="H145" s="86">
        <f>F145*1.5*((G145-F129)*500/2+(G145-F131)*500)</f>
        <v>29979.699822912142</v>
      </c>
      <c r="I145" s="62" t="s">
        <v>56</v>
      </c>
      <c r="J145" s="86">
        <v>2.6167413855608188E-6</v>
      </c>
      <c r="K145" s="86">
        <f>AC130+1*L121</f>
        <v>212.33333333333331</v>
      </c>
      <c r="L145" s="86">
        <f>J145*1.5*((K145-F130)*500/2+(K145-G145)*500)</f>
        <v>0.24695496826230223</v>
      </c>
      <c r="M145" s="62" t="s">
        <v>60</v>
      </c>
      <c r="N145" s="86">
        <v>1.4401970589799538E-5</v>
      </c>
      <c r="O145" s="86">
        <f>AC131+2*L121</f>
        <v>287.33333333333331</v>
      </c>
      <c r="P145" s="86">
        <f>N145*1.5*((O145-K145)*500/2)</f>
        <v>0.40505542283811197</v>
      </c>
    </row>
    <row r="146" spans="1:22" x14ac:dyDescent="0.25">
      <c r="A146" s="86"/>
      <c r="B146" s="86"/>
      <c r="C146" s="86"/>
      <c r="D146" s="86"/>
      <c r="E146" s="86"/>
      <c r="F146" s="86"/>
      <c r="G146" s="89" t="s">
        <v>79</v>
      </c>
      <c r="H146" s="89">
        <f>SUM(H143:H145)</f>
        <v>30009.135084581587</v>
      </c>
      <c r="I146" s="62" t="s">
        <v>52</v>
      </c>
      <c r="J146" s="86">
        <v>0.99601897495396519</v>
      </c>
      <c r="K146" s="86">
        <f>AC130+0*L121</f>
        <v>200.33333333333331</v>
      </c>
      <c r="L146" s="86">
        <f>J146*1.5*((K146-F130)*500/2+(K146-G145)*500)</f>
        <v>80553.03459940193</v>
      </c>
      <c r="M146" s="62" t="s">
        <v>56</v>
      </c>
      <c r="N146" s="86">
        <v>7.0134292741926042E-3</v>
      </c>
      <c r="O146" s="86">
        <f>AC131+1*L121</f>
        <v>275.33333333333331</v>
      </c>
      <c r="P146" s="86">
        <f>N146*1.5*((O146-K146)*500/2)</f>
        <v>197.25269833666698</v>
      </c>
    </row>
    <row r="147" spans="1:22" x14ac:dyDescent="0.25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9" t="s">
        <v>79</v>
      </c>
      <c r="L147" s="89">
        <f>SUM(L143:L146)</f>
        <v>80553.502811140177</v>
      </c>
      <c r="M147" s="62" t="s">
        <v>52</v>
      </c>
      <c r="N147" s="86">
        <v>0.99297216190911242</v>
      </c>
      <c r="O147" s="86">
        <f>AC131+0*L121</f>
        <v>263.33333333333331</v>
      </c>
      <c r="P147" s="86">
        <f>N147*1.5*((O147-K146)*500/2)</f>
        <v>23458.967325102782</v>
      </c>
      <c r="Q147" s="179" t="s">
        <v>80</v>
      </c>
      <c r="R147" s="179"/>
      <c r="S147" s="180">
        <f>D145+H146+L147+P148</f>
        <v>134219.26316699694</v>
      </c>
      <c r="T147" s="180"/>
    </row>
    <row r="148" spans="1:22" x14ac:dyDescent="0.25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9" t="s">
        <v>79</v>
      </c>
      <c r="P148" s="89">
        <f>SUM(P143:P147)</f>
        <v>23656.625271275159</v>
      </c>
      <c r="Q148" s="179"/>
      <c r="R148" s="179"/>
      <c r="S148" s="180"/>
      <c r="T148" s="180"/>
    </row>
    <row r="149" spans="1:22" x14ac:dyDescent="0.25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</row>
    <row r="150" spans="1:22" x14ac:dyDescent="0.25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</row>
    <row r="151" spans="1:22" x14ac:dyDescent="0.25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</row>
    <row r="152" spans="1:22" ht="24.75" thickBot="1" x14ac:dyDescent="0.3">
      <c r="O152" s="131" t="s">
        <v>81</v>
      </c>
      <c r="P152" s="131"/>
      <c r="Q152" s="131">
        <f>(R138+P138+M139+S147)/AC131</f>
        <v>941.60648432126447</v>
      </c>
      <c r="R152" s="131"/>
    </row>
    <row r="153" spans="1:22" x14ac:dyDescent="0.25">
      <c r="A153" s="181" t="s">
        <v>95</v>
      </c>
      <c r="B153" s="182"/>
    </row>
    <row r="154" spans="1:22" ht="15.75" thickBot="1" x14ac:dyDescent="0.3">
      <c r="A154" s="183"/>
      <c r="B154" s="184"/>
    </row>
    <row r="155" spans="1:22" ht="21" x14ac:dyDescent="0.35">
      <c r="A155" s="185" t="s">
        <v>14</v>
      </c>
      <c r="B155" s="185"/>
      <c r="C155" s="165"/>
      <c r="D155" s="165"/>
      <c r="E155" s="165"/>
      <c r="F155" s="165"/>
      <c r="G155" s="165"/>
      <c r="H155" s="165"/>
      <c r="I155" s="165"/>
      <c r="J155" s="165"/>
      <c r="K155" s="165"/>
      <c r="L155" s="165"/>
      <c r="M155" s="165"/>
      <c r="O155" s="166" t="s">
        <v>72</v>
      </c>
      <c r="P155" s="166"/>
      <c r="Q155" s="166"/>
      <c r="R155" s="166"/>
      <c r="S155" s="166"/>
      <c r="T155" s="166"/>
      <c r="U155" s="166"/>
      <c r="V155" s="166"/>
    </row>
    <row r="156" spans="1:22" ht="36" x14ac:dyDescent="0.25">
      <c r="A156" s="4" t="s">
        <v>15</v>
      </c>
      <c r="B156" s="4" t="s">
        <v>16</v>
      </c>
      <c r="C156" s="4" t="s">
        <v>31</v>
      </c>
      <c r="D156" s="6" t="s">
        <v>17</v>
      </c>
      <c r="E156" s="6" t="s">
        <v>18</v>
      </c>
      <c r="F156" s="6" t="s">
        <v>19</v>
      </c>
      <c r="G156" s="6" t="s">
        <v>20</v>
      </c>
      <c r="H156" s="6" t="s">
        <v>21</v>
      </c>
      <c r="I156" s="6" t="s">
        <v>22</v>
      </c>
      <c r="J156" s="6" t="s">
        <v>23</v>
      </c>
      <c r="K156" s="6" t="s">
        <v>24</v>
      </c>
      <c r="L156" s="6" t="s">
        <v>25</v>
      </c>
      <c r="M156" s="6" t="s">
        <v>26</v>
      </c>
      <c r="N156" s="8"/>
      <c r="O156" s="167" t="s">
        <v>32</v>
      </c>
      <c r="P156" s="167" t="s">
        <v>35</v>
      </c>
      <c r="Q156" s="167" t="s">
        <v>66</v>
      </c>
      <c r="R156" s="99" t="s">
        <v>67</v>
      </c>
      <c r="S156" s="99" t="s">
        <v>68</v>
      </c>
      <c r="T156" s="167" t="s">
        <v>69</v>
      </c>
      <c r="U156" s="71" t="s">
        <v>33</v>
      </c>
      <c r="V156" s="99" t="s">
        <v>70</v>
      </c>
    </row>
    <row r="157" spans="1:22" x14ac:dyDescent="0.25">
      <c r="A157" s="3" t="s">
        <v>27</v>
      </c>
      <c r="B157" s="3">
        <v>0</v>
      </c>
      <c r="C157" s="3">
        <v>0.3</v>
      </c>
      <c r="D157" s="3">
        <v>243</v>
      </c>
      <c r="E157" s="3">
        <v>1.73</v>
      </c>
      <c r="F157" s="3">
        <v>5</v>
      </c>
      <c r="G157" s="169">
        <v>12</v>
      </c>
      <c r="H157" s="3">
        <v>1820</v>
      </c>
      <c r="I157" s="169">
        <v>19645</v>
      </c>
      <c r="J157" s="3">
        <v>20</v>
      </c>
      <c r="K157" s="3">
        <v>40</v>
      </c>
      <c r="L157" s="3">
        <v>500</v>
      </c>
      <c r="M157" s="3">
        <v>1000</v>
      </c>
      <c r="O157" s="168"/>
      <c r="P157" s="168"/>
      <c r="Q157" s="168"/>
      <c r="R157" s="72" t="s">
        <v>71</v>
      </c>
      <c r="S157" s="72" t="s">
        <v>71</v>
      </c>
      <c r="T157" s="168"/>
      <c r="U157" s="73">
        <v>500</v>
      </c>
      <c r="V157" s="3">
        <v>1.5</v>
      </c>
    </row>
    <row r="158" spans="1:22" x14ac:dyDescent="0.25">
      <c r="A158" s="3" t="s">
        <v>28</v>
      </c>
      <c r="B158" s="3">
        <v>0</v>
      </c>
      <c r="C158" s="3">
        <v>0.3</v>
      </c>
      <c r="D158" s="3">
        <v>254</v>
      </c>
      <c r="E158" s="3">
        <v>1.88</v>
      </c>
      <c r="F158" s="3">
        <v>3</v>
      </c>
      <c r="G158" s="170"/>
      <c r="H158" s="3">
        <v>2720</v>
      </c>
      <c r="I158" s="170"/>
      <c r="J158" s="5"/>
      <c r="K158" s="5"/>
      <c r="L158" s="5"/>
      <c r="M158" s="5"/>
      <c r="O158" s="74">
        <v>1</v>
      </c>
      <c r="P158" s="74">
        <v>106</v>
      </c>
      <c r="Q158" s="74">
        <v>110</v>
      </c>
      <c r="R158" s="74">
        <v>6</v>
      </c>
      <c r="S158" s="74">
        <v>5</v>
      </c>
      <c r="T158" s="74">
        <f>R158*$U$5/60+S158</f>
        <v>55</v>
      </c>
      <c r="U158" s="75"/>
    </row>
    <row r="159" spans="1:22" x14ac:dyDescent="0.25">
      <c r="A159" s="3" t="s">
        <v>29</v>
      </c>
      <c r="B159" s="3">
        <v>0</v>
      </c>
      <c r="C159" s="3">
        <v>0.3</v>
      </c>
      <c r="D159" s="3">
        <v>143</v>
      </c>
      <c r="E159" s="3">
        <v>2.4300000000000002</v>
      </c>
      <c r="F159" s="3">
        <v>8</v>
      </c>
      <c r="G159" s="170"/>
      <c r="H159" s="3">
        <v>3700</v>
      </c>
      <c r="I159" s="170"/>
      <c r="J159" s="5"/>
      <c r="K159" s="140" t="s">
        <v>73</v>
      </c>
      <c r="L159" s="141">
        <v>12</v>
      </c>
      <c r="M159" s="140" t="s">
        <v>74</v>
      </c>
      <c r="N159" s="141">
        <v>19645</v>
      </c>
      <c r="O159" s="74">
        <v>2</v>
      </c>
      <c r="P159" s="74">
        <v>76</v>
      </c>
      <c r="Q159" s="74">
        <v>40</v>
      </c>
      <c r="R159" s="74">
        <v>9</v>
      </c>
      <c r="S159" s="74">
        <v>2</v>
      </c>
      <c r="T159" s="74">
        <f t="shared" ref="T159:T161" si="16">R159*$U$5/60+S159</f>
        <v>77</v>
      </c>
      <c r="U159" s="75"/>
    </row>
    <row r="160" spans="1:22" x14ac:dyDescent="0.25">
      <c r="A160" s="3" t="s">
        <v>30</v>
      </c>
      <c r="B160" s="3">
        <v>0</v>
      </c>
      <c r="C160" s="3">
        <v>0.3</v>
      </c>
      <c r="D160" s="3">
        <v>449</v>
      </c>
      <c r="E160" s="3">
        <v>2.5299999999999998</v>
      </c>
      <c r="F160" s="3">
        <v>4</v>
      </c>
      <c r="G160" s="171"/>
      <c r="H160" s="3">
        <v>4320</v>
      </c>
      <c r="I160" s="171"/>
      <c r="J160" s="5"/>
      <c r="K160" s="140"/>
      <c r="L160" s="141"/>
      <c r="M160" s="140"/>
      <c r="N160" s="141"/>
      <c r="O160" s="74">
        <v>3</v>
      </c>
      <c r="P160" s="74">
        <v>95</v>
      </c>
      <c r="Q160" s="74">
        <v>67</v>
      </c>
      <c r="R160" s="74">
        <v>5</v>
      </c>
      <c r="S160" s="74">
        <v>4</v>
      </c>
      <c r="T160" s="74">
        <f t="shared" si="16"/>
        <v>45.666666666666664</v>
      </c>
      <c r="U160" s="75"/>
    </row>
    <row r="161" spans="1:34" ht="15.75" thickBo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O161" s="74">
        <v>4</v>
      </c>
      <c r="P161" s="74">
        <v>140</v>
      </c>
      <c r="Q161" s="94">
        <v>85</v>
      </c>
      <c r="R161" s="94">
        <v>8</v>
      </c>
      <c r="S161" s="94">
        <v>3</v>
      </c>
      <c r="T161" s="74">
        <f t="shared" si="16"/>
        <v>69.666666666666671</v>
      </c>
    </row>
    <row r="162" spans="1:34" ht="15" customHeight="1" x14ac:dyDescent="0.25">
      <c r="A162" s="142" t="s">
        <v>101</v>
      </c>
      <c r="B162" s="144" t="s">
        <v>107</v>
      </c>
      <c r="C162" s="144"/>
      <c r="D162" s="144"/>
      <c r="E162" s="144"/>
      <c r="F162" s="20" t="s">
        <v>27</v>
      </c>
      <c r="G162" s="20" t="s">
        <v>28</v>
      </c>
      <c r="H162" s="20" t="s">
        <v>29</v>
      </c>
      <c r="I162" s="20" t="s">
        <v>30</v>
      </c>
    </row>
    <row r="163" spans="1:34" ht="15.75" customHeight="1" thickBot="1" x14ac:dyDescent="0.3">
      <c r="A163" s="143"/>
      <c r="B163" s="145"/>
      <c r="C163" s="145"/>
      <c r="D163" s="145"/>
      <c r="E163" s="145"/>
      <c r="F163" s="20">
        <v>168</v>
      </c>
      <c r="G163" s="26">
        <v>84</v>
      </c>
      <c r="H163" s="26">
        <v>84</v>
      </c>
      <c r="I163" s="26">
        <v>252</v>
      </c>
    </row>
    <row r="164" spans="1:34" ht="15.75" customHeight="1" thickBot="1" x14ac:dyDescent="0.3">
      <c r="A164" s="143"/>
      <c r="B164" s="145"/>
      <c r="C164" s="145"/>
      <c r="D164" s="145"/>
      <c r="E164" s="145"/>
      <c r="F164" s="7"/>
      <c r="G164" s="146" t="s">
        <v>27</v>
      </c>
      <c r="H164" s="147"/>
      <c r="I164" s="147"/>
      <c r="J164" s="147"/>
      <c r="K164" s="148"/>
      <c r="L164" s="149" t="s">
        <v>28</v>
      </c>
      <c r="M164" s="150"/>
      <c r="N164" s="150"/>
      <c r="O164" s="150"/>
      <c r="P164" s="151"/>
      <c r="Q164" s="152" t="s">
        <v>29</v>
      </c>
      <c r="R164" s="153"/>
      <c r="S164" s="153"/>
      <c r="T164" s="153"/>
      <c r="U164" s="154"/>
      <c r="V164" s="155" t="s">
        <v>30</v>
      </c>
      <c r="W164" s="156"/>
      <c r="X164" s="156"/>
      <c r="Y164" s="156"/>
      <c r="Z164" s="157"/>
      <c r="AA164" s="158" t="s">
        <v>42</v>
      </c>
      <c r="AB164" s="159"/>
      <c r="AC164" s="160" t="s">
        <v>44</v>
      </c>
      <c r="AD164" s="162" t="s">
        <v>47</v>
      </c>
      <c r="AE164" s="163"/>
      <c r="AF164" s="163"/>
      <c r="AG164" s="164"/>
      <c r="AH164" s="138" t="s">
        <v>62</v>
      </c>
    </row>
    <row r="165" spans="1:34" ht="36.75" x14ac:dyDescent="0.25">
      <c r="A165" s="21" t="s">
        <v>32</v>
      </c>
      <c r="B165" s="22" t="s">
        <v>37</v>
      </c>
      <c r="C165" s="23" t="s">
        <v>33</v>
      </c>
      <c r="D165" s="22" t="s">
        <v>38</v>
      </c>
      <c r="E165" s="22" t="s">
        <v>34</v>
      </c>
      <c r="F165" s="25" t="s">
        <v>35</v>
      </c>
      <c r="G165" s="27" t="s">
        <v>39</v>
      </c>
      <c r="H165" s="10" t="s">
        <v>40</v>
      </c>
      <c r="I165" s="10" t="s">
        <v>45</v>
      </c>
      <c r="J165" s="10" t="s">
        <v>46</v>
      </c>
      <c r="K165" s="28" t="s">
        <v>41</v>
      </c>
      <c r="L165" s="30" t="s">
        <v>39</v>
      </c>
      <c r="M165" s="13" t="s">
        <v>40</v>
      </c>
      <c r="N165" s="13" t="s">
        <v>45</v>
      </c>
      <c r="O165" s="13" t="s">
        <v>46</v>
      </c>
      <c r="P165" s="31" t="s">
        <v>41</v>
      </c>
      <c r="Q165" s="33" t="s">
        <v>39</v>
      </c>
      <c r="R165" s="12" t="s">
        <v>40</v>
      </c>
      <c r="S165" s="12" t="s">
        <v>45</v>
      </c>
      <c r="T165" s="12" t="s">
        <v>46</v>
      </c>
      <c r="U165" s="34" t="s">
        <v>41</v>
      </c>
      <c r="V165" s="36" t="s">
        <v>39</v>
      </c>
      <c r="W165" s="11" t="s">
        <v>40</v>
      </c>
      <c r="X165" s="11" t="s">
        <v>45</v>
      </c>
      <c r="Y165" s="11" t="s">
        <v>46</v>
      </c>
      <c r="Z165" s="37" t="s">
        <v>41</v>
      </c>
      <c r="AA165" s="39" t="s">
        <v>41</v>
      </c>
      <c r="AB165" s="40" t="s">
        <v>43</v>
      </c>
      <c r="AC165" s="161"/>
      <c r="AD165" s="43" t="s">
        <v>27</v>
      </c>
      <c r="AE165" s="1" t="s">
        <v>28</v>
      </c>
      <c r="AF165" s="1" t="s">
        <v>29</v>
      </c>
      <c r="AG165" s="1" t="s">
        <v>30</v>
      </c>
      <c r="AH165" s="139"/>
    </row>
    <row r="166" spans="1:34" x14ac:dyDescent="0.25">
      <c r="A166" s="24">
        <v>3</v>
      </c>
      <c r="B166" s="9">
        <v>5</v>
      </c>
      <c r="C166" s="9">
        <v>500</v>
      </c>
      <c r="D166" s="9">
        <v>4</v>
      </c>
      <c r="E166" s="48">
        <f>B166*C166/60+D166</f>
        <v>45.666666666666664</v>
      </c>
      <c r="F166" s="14">
        <v>95</v>
      </c>
      <c r="G166" s="49">
        <f>B$5*(1-AD166*C$5)</f>
        <v>0</v>
      </c>
      <c r="H166" s="50">
        <f>G166+E166</f>
        <v>45.666666666666664</v>
      </c>
      <c r="I166" s="15">
        <f>(H166/D$5)^E$5</f>
        <v>5.5463587496332782E-2</v>
      </c>
      <c r="J166" s="15">
        <f>(G166/D$5)^E$5</f>
        <v>0</v>
      </c>
      <c r="K166" s="29">
        <f>1-EXP(J166-I166)</f>
        <v>5.3953529036131931E-2</v>
      </c>
      <c r="L166" s="51">
        <f>B$6*(1-AE166*C$6)</f>
        <v>0</v>
      </c>
      <c r="M166" s="52">
        <f>L166+E166</f>
        <v>45.666666666666664</v>
      </c>
      <c r="N166" s="17">
        <f>(M166/D$6)^E$6</f>
        <v>3.9715434673642101E-2</v>
      </c>
      <c r="O166" s="17">
        <f>(L166/D$6)^E$6</f>
        <v>0</v>
      </c>
      <c r="P166" s="32">
        <f>1-EXP(O166-N166)</f>
        <v>3.8937114582545562E-2</v>
      </c>
      <c r="Q166" s="53">
        <f>B$7*(1-AF166*C$7)</f>
        <v>0</v>
      </c>
      <c r="R166" s="54">
        <f>Q166+E166</f>
        <v>45.666666666666664</v>
      </c>
      <c r="S166" s="16">
        <f>(R166/D$7)^E$7</f>
        <v>6.2425173515745024E-2</v>
      </c>
      <c r="T166" s="16">
        <f>(Q166/D$7)^E$7</f>
        <v>0</v>
      </c>
      <c r="U166" s="35">
        <f>1-EXP(T166-S166)</f>
        <v>6.0516641579816954E-2</v>
      </c>
      <c r="V166" s="55">
        <f>B$8*(1-AG166*C$8)</f>
        <v>0</v>
      </c>
      <c r="W166" s="56">
        <f>V166+E166</f>
        <v>45.666666666666664</v>
      </c>
      <c r="X166" s="18">
        <f>(W166/D$8)^E$8</f>
        <v>3.0803709406480337E-3</v>
      </c>
      <c r="Y166" s="18">
        <f>(V166/D$8)^E$8</f>
        <v>0</v>
      </c>
      <c r="Z166" s="38">
        <f>1-EXP(Y166-X166)</f>
        <v>3.0756314657778283E-3</v>
      </c>
      <c r="AA166" s="41">
        <f>K166*P166*U166*Z166</f>
        <v>3.9101438569080559E-7</v>
      </c>
      <c r="AB166" s="42">
        <f>1-AA166</f>
        <v>0.99999960898561435</v>
      </c>
      <c r="AC166" s="47">
        <f>(AD166*F$5+AE166*F$6+AF166*F$7+AG166*F$8)+E166</f>
        <v>45.666666666666664</v>
      </c>
      <c r="AD166" s="43">
        <v>0</v>
      </c>
      <c r="AE166" s="1">
        <v>0</v>
      </c>
      <c r="AF166" s="1">
        <v>0</v>
      </c>
      <c r="AG166" s="1">
        <v>0</v>
      </c>
      <c r="AH166" s="44">
        <v>67</v>
      </c>
    </row>
    <row r="167" spans="1:34" x14ac:dyDescent="0.25">
      <c r="A167" s="24">
        <v>4</v>
      </c>
      <c r="B167" s="9">
        <v>8</v>
      </c>
      <c r="C167" s="9">
        <v>500</v>
      </c>
      <c r="D167" s="9">
        <v>3</v>
      </c>
      <c r="E167" s="9">
        <f t="shared" ref="E167:E169" si="17">B167*C167/60+D167</f>
        <v>69.666666666666671</v>
      </c>
      <c r="F167" s="14">
        <v>140</v>
      </c>
      <c r="G167" s="49">
        <f>H166*(1-AD167*C$5)</f>
        <v>45.666666666666664</v>
      </c>
      <c r="H167" s="50">
        <f>G167+E167</f>
        <v>115.33333333333334</v>
      </c>
      <c r="I167" s="15">
        <f>(H167/D$5)^E$5</f>
        <v>0.27547552976184858</v>
      </c>
      <c r="J167" s="15">
        <f>(G167/D$5)^E$5</f>
        <v>5.5463587496332782E-2</v>
      </c>
      <c r="K167" s="29">
        <f>1-EXP(J167-I167)</f>
        <v>0.19749078587286173</v>
      </c>
      <c r="L167" s="51">
        <f>M166*(1-AE167*C$6)</f>
        <v>45.666666666666664</v>
      </c>
      <c r="M167" s="52">
        <f>L167+E167</f>
        <v>115.33333333333334</v>
      </c>
      <c r="N167" s="17">
        <f>(M167/D$6)^E$6</f>
        <v>0.22666669883015245</v>
      </c>
      <c r="O167" s="17">
        <f>(L167/D$6)^E$6</f>
        <v>3.9715434673642101E-2</v>
      </c>
      <c r="P167" s="32">
        <f>1-EXP(O167-N167)</f>
        <v>0.17051583898942002</v>
      </c>
      <c r="Q167" s="53">
        <f>R166*(1-AF167*C$7)</f>
        <v>45.666666666666664</v>
      </c>
      <c r="R167" s="54">
        <f>Q167+E167</f>
        <v>115.33333333333334</v>
      </c>
      <c r="S167" s="16">
        <f>(R167/D$7)^E$7</f>
        <v>0.59303960801780564</v>
      </c>
      <c r="T167" s="16">
        <f>(Q167/D$7)^E$7</f>
        <v>6.2425173515745024E-2</v>
      </c>
      <c r="U167" s="35">
        <f>1-EXP(T167-S167)</f>
        <v>0.41175657843790647</v>
      </c>
      <c r="V167" s="55">
        <f>W166*(1-AG167*C$8)</f>
        <v>45.666666666666664</v>
      </c>
      <c r="W167" s="56">
        <f>V167+E167</f>
        <v>115.33333333333334</v>
      </c>
      <c r="X167" s="18">
        <f>(W167/D$8)^E$8</f>
        <v>3.2104248826077181E-2</v>
      </c>
      <c r="Y167" s="18">
        <f>(V167/D$8)^E$8</f>
        <v>3.0803709406480337E-3</v>
      </c>
      <c r="Z167" s="38">
        <f>1-EXP(Y167-X167)</f>
        <v>2.8606730627511734E-2</v>
      </c>
      <c r="AA167" s="41">
        <f>K167*P167*U167*Z167</f>
        <v>3.9666176239845391E-4</v>
      </c>
      <c r="AB167" s="42">
        <f>1-AA167</f>
        <v>0.9996033382376015</v>
      </c>
      <c r="AC167" s="47">
        <f>AF167*F$7+E167+AC166</f>
        <v>115.33333333333334</v>
      </c>
      <c r="AD167" s="43">
        <v>0</v>
      </c>
      <c r="AE167" s="1">
        <v>0</v>
      </c>
      <c r="AF167" s="1">
        <v>0</v>
      </c>
      <c r="AG167" s="1">
        <v>0</v>
      </c>
      <c r="AH167" s="44">
        <v>85</v>
      </c>
    </row>
    <row r="168" spans="1:34" x14ac:dyDescent="0.25">
      <c r="A168" s="57">
        <v>2</v>
      </c>
      <c r="B168" s="58">
        <v>9</v>
      </c>
      <c r="C168" s="58">
        <v>500</v>
      </c>
      <c r="D168" s="58">
        <v>2</v>
      </c>
      <c r="E168" s="66">
        <f t="shared" si="17"/>
        <v>77</v>
      </c>
      <c r="F168" s="67">
        <v>76</v>
      </c>
      <c r="G168" s="68">
        <f>H167*(1-AD168*C$5)</f>
        <v>115.33333333333334</v>
      </c>
      <c r="H168" s="69">
        <f>G168+E168</f>
        <v>192.33333333333334</v>
      </c>
      <c r="I168" s="70">
        <f>(H168/D$5)^E$5</f>
        <v>0.66729140773810391</v>
      </c>
      <c r="J168" s="70">
        <f>(G168/D$5)^E$5</f>
        <v>0.27547552976184858</v>
      </c>
      <c r="K168" s="29">
        <f>1-EXP(J168-I168)</f>
        <v>0.32417146257626051</v>
      </c>
      <c r="L168" s="51">
        <f>M167*(1-AE168*C$6)</f>
        <v>80.733333333333334</v>
      </c>
      <c r="M168" s="52">
        <f>L168+E168</f>
        <v>157.73333333333335</v>
      </c>
      <c r="N168" s="17">
        <f>(M168/D$6)^E$6</f>
        <v>0.40832762011069829</v>
      </c>
      <c r="O168" s="17">
        <f>(L168/D$6)^E$6</f>
        <v>0.11592364675943075</v>
      </c>
      <c r="P168" s="32">
        <f>1-EXP(O168-N168)</f>
        <v>0.25353307768869848</v>
      </c>
      <c r="Q168" s="53">
        <f>R167*(1-AF168*C$7)</f>
        <v>80.733333333333334</v>
      </c>
      <c r="R168" s="54">
        <f>Q168+E168</f>
        <v>157.73333333333335</v>
      </c>
      <c r="S168" s="16">
        <f>(R168/D$7)^E$7</f>
        <v>1.269075582984684</v>
      </c>
      <c r="T168" s="16">
        <f>(Q168/D$7)^E$7</f>
        <v>0.24927110408438607</v>
      </c>
      <c r="U168" s="35">
        <f>1-EXP(T168-S168)</f>
        <v>0.63933454901472087</v>
      </c>
      <c r="V168" s="55">
        <f>W167*(1-AG168*C$8)</f>
        <v>115.33333333333334</v>
      </c>
      <c r="W168" s="56">
        <f>V168+E168</f>
        <v>192.33333333333334</v>
      </c>
      <c r="X168" s="18">
        <f>(W168/D$8)^E$8</f>
        <v>0.11707786390726455</v>
      </c>
      <c r="Y168" s="18">
        <f>(V168/D$8)^E$8</f>
        <v>3.2104248826077181E-2</v>
      </c>
      <c r="Z168" s="38">
        <f>1-EXP(Y168-X168)</f>
        <v>8.1463480406769873E-2</v>
      </c>
      <c r="AA168" s="41">
        <f>K168*P168*U168*Z168</f>
        <v>4.2805595531142625E-3</v>
      </c>
      <c r="AB168" s="42">
        <f>1-AA168</f>
        <v>0.99571944044688576</v>
      </c>
      <c r="AC168" s="47">
        <f>(AF168*F$7)+E168+AC167</f>
        <v>200.33333333333334</v>
      </c>
      <c r="AD168" s="77">
        <v>0</v>
      </c>
      <c r="AE168" s="78">
        <v>1</v>
      </c>
      <c r="AF168" s="78">
        <v>1</v>
      </c>
      <c r="AG168" s="78">
        <v>0</v>
      </c>
      <c r="AH168" s="79">
        <v>40</v>
      </c>
    </row>
    <row r="169" spans="1:34" ht="15.75" thickBot="1" x14ac:dyDescent="0.3">
      <c r="A169" s="76">
        <v>1</v>
      </c>
      <c r="B169" s="58">
        <v>6</v>
      </c>
      <c r="C169" s="58">
        <v>500</v>
      </c>
      <c r="D169" s="58">
        <v>5</v>
      </c>
      <c r="E169" s="66">
        <f t="shared" si="17"/>
        <v>55</v>
      </c>
      <c r="F169" s="67">
        <v>106</v>
      </c>
      <c r="G169" s="68">
        <f>H168*(1-AD169*C$5)</f>
        <v>134.63333333333333</v>
      </c>
      <c r="H169" s="69">
        <f>G169+E169</f>
        <v>189.63333333333333</v>
      </c>
      <c r="I169" s="70">
        <f>(H169/D$5)^E$5</f>
        <v>0.65116873667608721</v>
      </c>
      <c r="J169" s="70">
        <f>(G169/D$5)^E$5</f>
        <v>0.36002705832955134</v>
      </c>
      <c r="K169" s="29">
        <f>1-EXP(J169-I169)</f>
        <v>0.25259022126518538</v>
      </c>
      <c r="L169" s="51">
        <f>M168*(1-AE169*C$6)</f>
        <v>110.41333333333334</v>
      </c>
      <c r="M169" s="52">
        <f>L169+E169</f>
        <v>165.41333333333336</v>
      </c>
      <c r="N169" s="17">
        <f>(M169/D$6)^E$6</f>
        <v>0.44650381920973092</v>
      </c>
      <c r="O169" s="17">
        <f>(L169/D$6)^E$6</f>
        <v>0.20883008858438834</v>
      </c>
      <c r="P169" s="32">
        <f>1-EXP(O169-N169)</f>
        <v>0.21154010054978001</v>
      </c>
      <c r="Q169" s="53">
        <f>R168*(1-AF169*C$7)</f>
        <v>110.41333333333334</v>
      </c>
      <c r="R169" s="54">
        <f>Q169+E169</f>
        <v>165.41333333333336</v>
      </c>
      <c r="S169" s="16">
        <f>(R169/D$7)^E$7</f>
        <v>1.4244912195012376</v>
      </c>
      <c r="T169" s="16">
        <f>(Q169/D$7)^E$7</f>
        <v>0.53342789833968418</v>
      </c>
      <c r="U169" s="35">
        <f>1-EXP(T169-S169)</f>
        <v>0.58978067412758073</v>
      </c>
      <c r="V169" s="55">
        <f>W168*(1-AG169*C$8)</f>
        <v>192.33333333333334</v>
      </c>
      <c r="W169" s="56">
        <f>V169+E169</f>
        <v>247.33333333333334</v>
      </c>
      <c r="X169" s="18">
        <f>(W169/D$8)^E$8</f>
        <v>0.22121871391987213</v>
      </c>
      <c r="Y169" s="18">
        <f>(V169/D$8)^E$8</f>
        <v>0.11707786390726455</v>
      </c>
      <c r="Z169" s="38">
        <f>1-EXP(Y169-X169)</f>
        <v>9.8901631234138088E-2</v>
      </c>
      <c r="AA169" s="41">
        <f>K169*P169*U169*Z169</f>
        <v>3.1167590702411061E-3</v>
      </c>
      <c r="AB169" s="42">
        <f>1-AA169</f>
        <v>0.99688324092975888</v>
      </c>
      <c r="AC169" s="47">
        <f>(AF169*F$7)+E169+AC168</f>
        <v>263.33333333333337</v>
      </c>
      <c r="AD169" s="80">
        <v>1</v>
      </c>
      <c r="AE169" s="45">
        <v>1</v>
      </c>
      <c r="AF169" s="81">
        <v>1</v>
      </c>
      <c r="AG169" s="45">
        <v>0</v>
      </c>
      <c r="AH169" s="82">
        <v>110</v>
      </c>
    </row>
    <row r="170" spans="1:34" ht="18.75" x14ac:dyDescent="0.3">
      <c r="A170" s="132" t="s">
        <v>53</v>
      </c>
      <c r="B170" s="132"/>
      <c r="C170" s="132"/>
      <c r="D170" s="132"/>
      <c r="E170" s="132"/>
      <c r="F170" s="132"/>
      <c r="G170" s="132"/>
      <c r="H170" s="132"/>
      <c r="I170" s="132"/>
      <c r="J170" s="132"/>
      <c r="AG170" s="46"/>
    </row>
    <row r="171" spans="1:34" ht="15.75" x14ac:dyDescent="0.25">
      <c r="A171" s="19" t="s">
        <v>54</v>
      </c>
      <c r="B171" s="60" t="s">
        <v>49</v>
      </c>
      <c r="C171" s="61" t="s">
        <v>50</v>
      </c>
      <c r="D171" s="19" t="s">
        <v>82</v>
      </c>
      <c r="E171" s="60" t="s">
        <v>57</v>
      </c>
      <c r="F171" s="61" t="s">
        <v>50</v>
      </c>
      <c r="G171" s="19" t="s">
        <v>48</v>
      </c>
      <c r="H171" s="60" t="s">
        <v>61</v>
      </c>
      <c r="I171" s="61" t="s">
        <v>50</v>
      </c>
      <c r="J171" s="19" t="s">
        <v>58</v>
      </c>
      <c r="K171" s="83" t="s">
        <v>84</v>
      </c>
      <c r="L171" s="61" t="s">
        <v>50</v>
      </c>
      <c r="M171" s="61" t="s">
        <v>85</v>
      </c>
      <c r="O171" s="174" t="s">
        <v>64</v>
      </c>
      <c r="P171" s="174"/>
      <c r="Q171" s="175" t="s">
        <v>109</v>
      </c>
      <c r="R171" s="175"/>
    </row>
    <row r="172" spans="1:34" ht="24.75" x14ac:dyDescent="0.25">
      <c r="A172" s="61" t="s">
        <v>51</v>
      </c>
      <c r="B172" s="1">
        <f>AA166</f>
        <v>3.9101438569080559E-7</v>
      </c>
      <c r="C172" s="59">
        <f>MAX(AC166+1*L159-F166,0)</f>
        <v>0</v>
      </c>
      <c r="D172" s="62" t="s">
        <v>55</v>
      </c>
      <c r="E172" s="1">
        <f>AA166*AA167</f>
        <v>1.5510045535126374E-10</v>
      </c>
      <c r="F172" s="1">
        <f>MAX(AC167+2*L159-F167,0)</f>
        <v>0</v>
      </c>
      <c r="G172" s="62" t="s">
        <v>59</v>
      </c>
      <c r="H172" s="1">
        <f>AA166*AA167*AA168</f>
        <v>6.6391673584622412E-13</v>
      </c>
      <c r="I172" s="1">
        <f>AC168+3*L159-F168</f>
        <v>160.33333333333334</v>
      </c>
      <c r="J172" s="62" t="s">
        <v>83</v>
      </c>
      <c r="K172" s="1">
        <f>AA166*AA167*AA168*AA169</f>
        <v>2.0692685083335874E-15</v>
      </c>
      <c r="L172" s="1">
        <f>AC169+4*L159-F169</f>
        <v>205.33333333333337</v>
      </c>
      <c r="M172" s="1">
        <f>B172*C172*AH166+E172*F172*AH167+H172*I172*AH168+K172*L172*AH169</f>
        <v>4.3046572106020122E-9</v>
      </c>
      <c r="O172" s="1" t="s">
        <v>27</v>
      </c>
      <c r="P172" s="1">
        <f>H157</f>
        <v>1820</v>
      </c>
      <c r="Q172" s="1">
        <f>(K166*(1-P166)*(1-U166)*(1-Z166))+(P166*(1-K166)*(1-U166)*(1-Z166))+(U166*(1-K166)*(1-P166)*(1-Z166))+(Z166*(1-K166)*(1-P166)*(1-U166))</f>
        <v>0.1405459062810282</v>
      </c>
      <c r="R172" s="1">
        <f>Q172*(L$7*(J$5*K$5+L$5)+I$5)</f>
        <v>4953.5404668748388</v>
      </c>
    </row>
    <row r="173" spans="1:34" ht="24.75" x14ac:dyDescent="0.25">
      <c r="A173" s="62" t="s">
        <v>52</v>
      </c>
      <c r="B173" s="1">
        <f>AB166</f>
        <v>0.99999960898561435</v>
      </c>
      <c r="C173" s="59">
        <f>MAX(AC166-F166,0)</f>
        <v>0</v>
      </c>
      <c r="D173" s="62" t="s">
        <v>56</v>
      </c>
      <c r="E173" s="1">
        <f>AA166*AB167+AA167*AB166</f>
        <v>3.9705246658323402E-4</v>
      </c>
      <c r="F173" s="1">
        <f>MAX(AC167+1*L159-F167,0)</f>
        <v>0</v>
      </c>
      <c r="G173" s="62" t="s">
        <v>60</v>
      </c>
      <c r="H173" s="1">
        <f>AA166*AA167*AB168+AA167*AA168*AB166+AA166*AA168*AB167</f>
        <v>1.6997611654590593E-6</v>
      </c>
      <c r="I173" s="1">
        <f>AC168+2*L159-F168</f>
        <v>148.33333333333334</v>
      </c>
      <c r="J173" s="62" t="s">
        <v>59</v>
      </c>
      <c r="K173">
        <f>AB166*AA167*AA168*AA169+AB167*AA166*AA168*AA169*+AB168*AA166*AA167*AA169+AB169*AA166*AA167*AA168</f>
        <v>5.2927118971453217E-9</v>
      </c>
      <c r="L173" s="1">
        <f>AC169+3*L159-F169</f>
        <v>193.33333333333337</v>
      </c>
      <c r="M173" s="1">
        <f>B173*C173*AH166+E173*F173*AH167+H173*I173*AH168+K173*L173*AH169</f>
        <v>1.0197807921403042E-2</v>
      </c>
      <c r="O173" s="1" t="s">
        <v>28</v>
      </c>
      <c r="P173" s="1">
        <f>2*H158</f>
        <v>5440</v>
      </c>
      <c r="Q173" s="1">
        <f t="shared" ref="Q173:Q175" si="18">(K167*(1-P167)*(1-U167)*(1-Z167))+(P167*(1-K167)*(1-U167)*(1-Z167))+(U167*(1-K167)*(1-P167)*(1-Z167))+(Z167*(1-K167)*(1-P167)*(1-U167))</f>
        <v>0.44925379312516944</v>
      </c>
      <c r="R173" s="1">
        <f t="shared" ref="R173:R175" si="19">Q173*(L$7*(J$5*K$5+L$5)+I$5)</f>
        <v>15833.949938696596</v>
      </c>
    </row>
    <row r="174" spans="1:34" ht="24.75" x14ac:dyDescent="0.25">
      <c r="A174" s="1"/>
      <c r="B174" s="1"/>
      <c r="C174" s="1"/>
      <c r="D174" s="62" t="s">
        <v>52</v>
      </c>
      <c r="E174" s="1">
        <f>AB166*AB167</f>
        <v>0.99960294737831634</v>
      </c>
      <c r="F174" s="59">
        <f>MAX(AC167-F167,0)</f>
        <v>0</v>
      </c>
      <c r="G174" s="62" t="s">
        <v>56</v>
      </c>
      <c r="H174" s="1">
        <f>AA166*AB167*AB168+AA167*AB166*AB168*+AA168*AB166*AB167</f>
        <v>2.0791804320505214E-6</v>
      </c>
      <c r="I174" s="1">
        <f>AC168+1*L159-F168</f>
        <v>136.33333333333334</v>
      </c>
      <c r="J174" s="62" t="s">
        <v>60</v>
      </c>
      <c r="K174" s="1">
        <f>AA166*AA167*AB168*AB169 + AA166*AA168*AB167*AB169 + AA166*AA169*AB167*AB168 + AA167*AA168*AB166*AB169 + AA167*AA169*AB166*AB168 + AA168*AA169*AB166*AB167</f>
        <v>1.6262858577444683E-5</v>
      </c>
      <c r="L174" s="1">
        <f>AC169+2*L159-F169</f>
        <v>181.33333333333337</v>
      </c>
      <c r="M174" s="1">
        <f>B174*C174*AH166+E174*F174*AH167+H174*I174*AH168+K174*L174*AH169</f>
        <v>0.33572828304754548</v>
      </c>
      <c r="O174" s="1" t="s">
        <v>29</v>
      </c>
      <c r="P174" s="1">
        <f>2*(F159*(J157*K157+L157)+H159)</f>
        <v>28200</v>
      </c>
      <c r="Q174" s="1">
        <f t="shared" si="18"/>
        <v>0.44801053117837847</v>
      </c>
      <c r="R174" s="1">
        <f t="shared" si="19"/>
        <v>15790.131171381949</v>
      </c>
    </row>
    <row r="175" spans="1:34" ht="24.75" x14ac:dyDescent="0.25">
      <c r="A175" s="1"/>
      <c r="B175" s="1"/>
      <c r="C175" s="1"/>
      <c r="D175" s="1"/>
      <c r="E175" s="1"/>
      <c r="F175" s="1"/>
      <c r="G175" s="62" t="s">
        <v>52</v>
      </c>
      <c r="H175" s="1">
        <f>AB166*AB167*AB168</f>
        <v>0.99532408743259493</v>
      </c>
      <c r="I175" s="63">
        <f>AC168-F168</f>
        <v>124.33333333333334</v>
      </c>
      <c r="J175" s="62" t="s">
        <v>56</v>
      </c>
      <c r="K175" s="1">
        <f>AA166*AB167*AB168*AB169+AA167*AB166*AB168*AB169+AA168*AB166*AB167*AB169+AA169*AB166*AB167*AB168</f>
        <v>7.7618297877527151E-3</v>
      </c>
      <c r="L175" s="1">
        <f>AC169+1*L159-F169</f>
        <v>169.33333333333337</v>
      </c>
      <c r="M175" s="1">
        <f>B175*C175*AH166+E175*F175*AH167+H175*I175*AH168+K175*L175*AH169</f>
        <v>5094.6554776779794</v>
      </c>
      <c r="O175" s="1" t="s">
        <v>30</v>
      </c>
      <c r="P175" s="1">
        <v>0</v>
      </c>
      <c r="Q175" s="1">
        <f t="shared" si="18"/>
        <v>0.46915599365189731</v>
      </c>
      <c r="R175" s="1">
        <f t="shared" si="19"/>
        <v>16535.40299626112</v>
      </c>
    </row>
    <row r="176" spans="1:34" ht="30" x14ac:dyDescent="0.25">
      <c r="I176" s="84"/>
      <c r="J176" s="62" t="s">
        <v>52</v>
      </c>
      <c r="K176" s="85">
        <f>AB166*AB167*AB168*AB169</f>
        <v>0.99222190205525995</v>
      </c>
      <c r="L176" s="1">
        <f>AC169+0*L159-F169</f>
        <v>157.33333333333337</v>
      </c>
      <c r="M176" s="1">
        <f>B176*C176*AH166+E176*F176*AH167+H176*I176*AH168+K176*L176*AH169</f>
        <v>17172.05371823637</v>
      </c>
      <c r="O176" s="64" t="s">
        <v>65</v>
      </c>
      <c r="P176" s="65">
        <f>SUM(P172:P175)</f>
        <v>35460</v>
      </c>
      <c r="Q176" s="96" t="s">
        <v>108</v>
      </c>
      <c r="R176" s="97">
        <f>SUM(R172:R175)</f>
        <v>53113.024573214512</v>
      </c>
    </row>
    <row r="177" spans="1:20" x14ac:dyDescent="0.25">
      <c r="L177" s="176" t="s">
        <v>63</v>
      </c>
      <c r="M177" s="177">
        <f>SUM(M172:M176)</f>
        <v>22267.055122009624</v>
      </c>
    </row>
    <row r="178" spans="1:20" x14ac:dyDescent="0.25">
      <c r="L178" s="176"/>
      <c r="M178" s="177"/>
    </row>
    <row r="179" spans="1:20" x14ac:dyDescent="0.25">
      <c r="A179" s="178" t="s">
        <v>90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</row>
    <row r="180" spans="1:20" ht="15.75" x14ac:dyDescent="0.25">
      <c r="A180" s="87" t="s">
        <v>76</v>
      </c>
      <c r="B180" s="62" t="s">
        <v>49</v>
      </c>
      <c r="C180" s="90" t="s">
        <v>102</v>
      </c>
      <c r="D180" s="62" t="s">
        <v>88</v>
      </c>
      <c r="E180" s="87" t="s">
        <v>86</v>
      </c>
      <c r="F180" s="62" t="s">
        <v>57</v>
      </c>
      <c r="G180" s="90" t="s">
        <v>103</v>
      </c>
      <c r="H180" s="62" t="s">
        <v>88</v>
      </c>
      <c r="I180" s="87" t="s">
        <v>75</v>
      </c>
      <c r="J180" s="62" t="s">
        <v>61</v>
      </c>
      <c r="K180" s="90" t="s">
        <v>87</v>
      </c>
      <c r="L180" s="62" t="s">
        <v>88</v>
      </c>
      <c r="M180" s="87" t="s">
        <v>77</v>
      </c>
      <c r="N180" s="62" t="s">
        <v>84</v>
      </c>
      <c r="O180" s="90" t="s">
        <v>78</v>
      </c>
      <c r="P180" s="62" t="s">
        <v>88</v>
      </c>
    </row>
    <row r="181" spans="1:20" ht="24.75" x14ac:dyDescent="0.25">
      <c r="A181" s="62" t="s">
        <v>51</v>
      </c>
      <c r="B181" s="86">
        <v>3.9101438569080559E-7</v>
      </c>
      <c r="C181" s="86">
        <f>AC166+1*L159</f>
        <v>57.666666666666664</v>
      </c>
      <c r="D181" s="86">
        <f>MAX(B181*1.5*((C181-F166)*500/2),0)</f>
        <v>0</v>
      </c>
      <c r="E181" s="62" t="s">
        <v>55</v>
      </c>
      <c r="F181" s="86">
        <v>1.5510045535126374E-10</v>
      </c>
      <c r="G181" s="86">
        <f>AC167+2*L159</f>
        <v>139.33333333333334</v>
      </c>
      <c r="H181" s="86">
        <f>F181*1.5*((G181-F167)*500/2+(G181-F168)*500 + (G181-F169)*500)</f>
        <v>1.1206007899128807E-5</v>
      </c>
      <c r="I181" s="62" t="s">
        <v>59</v>
      </c>
      <c r="J181" s="86">
        <v>6.6391673584622412E-13</v>
      </c>
      <c r="K181" s="86">
        <f>AC168+3*L159</f>
        <v>236.33333333333334</v>
      </c>
      <c r="L181" s="86">
        <f>J181*1.5*((K181-G181)*500/2+(K181-G181)*500)</f>
        <v>7.2449913799219214E-8</v>
      </c>
      <c r="M181" s="62" t="s">
        <v>83</v>
      </c>
      <c r="N181" s="86">
        <v>2.0692685083335874E-15</v>
      </c>
      <c r="O181" s="86">
        <f>AC169+4*L159</f>
        <v>311.33333333333337</v>
      </c>
      <c r="P181" s="86">
        <f>N181*1.5*((O181-K181)*500/2)</f>
        <v>5.8198176796882167E-11</v>
      </c>
    </row>
    <row r="182" spans="1:20" ht="24.75" x14ac:dyDescent="0.25">
      <c r="A182" s="62" t="s">
        <v>52</v>
      </c>
      <c r="B182" s="86">
        <v>0.99999960898561435</v>
      </c>
      <c r="C182" s="88">
        <f>AC166</f>
        <v>45.666666666666664</v>
      </c>
      <c r="D182" s="86">
        <f>MAX(B182*1.5*((C182-F166)*500/2),0)</f>
        <v>0</v>
      </c>
      <c r="E182" s="62" t="s">
        <v>56</v>
      </c>
      <c r="F182" s="86">
        <v>3.9705246658323402E-4</v>
      </c>
      <c r="G182" s="86">
        <f>AC167+1*L159</f>
        <v>127.33333333333334</v>
      </c>
      <c r="H182" s="86">
        <f>F182*1.5*((G182-F168)*500+(G182-F169)*500)</f>
        <v>21.639359428786261</v>
      </c>
      <c r="I182" s="62" t="s">
        <v>60</v>
      </c>
      <c r="J182" s="86">
        <v>1.6997611654590593E-6</v>
      </c>
      <c r="K182" s="86">
        <f>AC168+2*L159</f>
        <v>224.33333333333334</v>
      </c>
      <c r="L182" s="86">
        <f>J182*1.5*((K182-G182)*500/2+(K182-G182)*500)</f>
        <v>0.18548643718071983</v>
      </c>
      <c r="M182" s="62" t="s">
        <v>59</v>
      </c>
      <c r="N182" s="86">
        <v>5.2927118971453217E-9</v>
      </c>
      <c r="O182" s="86">
        <f>AC169+3*L159</f>
        <v>299.33333333333337</v>
      </c>
      <c r="P182" s="86">
        <f>N182*1.5*((O182-K182)*500/2)</f>
        <v>1.4885752210721222E-4</v>
      </c>
    </row>
    <row r="183" spans="1:20" x14ac:dyDescent="0.25">
      <c r="A183" s="86"/>
      <c r="B183" s="86"/>
      <c r="C183" s="89" t="s">
        <v>89</v>
      </c>
      <c r="D183" s="89">
        <f>SUM(D181:D182)</f>
        <v>0</v>
      </c>
      <c r="E183" s="62" t="s">
        <v>52</v>
      </c>
      <c r="F183" s="86">
        <v>0.99960294737831634</v>
      </c>
      <c r="G183" s="86">
        <f>AC167+0*L159</f>
        <v>115.33333333333334</v>
      </c>
      <c r="H183" s="86">
        <f>F183*1.5*((G183-F168)*500+(G183-F169)*500)</f>
        <v>36485.507579308556</v>
      </c>
      <c r="I183" s="62" t="s">
        <v>56</v>
      </c>
      <c r="J183" s="86">
        <v>2.0791804320505214E-6</v>
      </c>
      <c r="K183" s="86">
        <f>AC168+1*L159</f>
        <v>212.33333333333334</v>
      </c>
      <c r="L183" s="86">
        <f>J183*1.5*((K183-G183)*500/2+(K183-G183)*500)</f>
        <v>0.22689056464751317</v>
      </c>
      <c r="M183" s="62" t="s">
        <v>60</v>
      </c>
      <c r="N183" s="86">
        <v>1.6262858577444683E-5</v>
      </c>
      <c r="O183" s="86">
        <f>AC169+2*L159</f>
        <v>287.33333333333337</v>
      </c>
      <c r="P183" s="86">
        <f>N183*1.5*((O183-K183)*500/2)</f>
        <v>0.45739289749063189</v>
      </c>
    </row>
    <row r="184" spans="1:20" x14ac:dyDescent="0.25">
      <c r="A184" s="86"/>
      <c r="B184" s="86"/>
      <c r="C184" s="86"/>
      <c r="D184" s="86"/>
      <c r="E184" s="86"/>
      <c r="F184" s="86"/>
      <c r="G184" s="89" t="s">
        <v>79</v>
      </c>
      <c r="H184" s="89">
        <f>SUM(H181:H183)</f>
        <v>36507.146949943352</v>
      </c>
      <c r="I184" s="62" t="s">
        <v>52</v>
      </c>
      <c r="J184" s="86">
        <v>0.99532408743259493</v>
      </c>
      <c r="K184" s="86">
        <f>AC168+0*L159</f>
        <v>200.33333333333334</v>
      </c>
      <c r="L184" s="86">
        <f>J184*1.5*((K184-G183)*500/2+(K184-G183)*500)</f>
        <v>95177.865860741891</v>
      </c>
      <c r="M184" s="62" t="s">
        <v>56</v>
      </c>
      <c r="N184" s="86">
        <v>7.7618297877527151E-3</v>
      </c>
      <c r="O184" s="86">
        <f>AC169+1*L159</f>
        <v>275.33333333333337</v>
      </c>
      <c r="P184" s="86">
        <f>N184*1.5*((O184-K184)*500/2)</f>
        <v>218.30146278054519</v>
      </c>
    </row>
    <row r="185" spans="1:20" x14ac:dyDescent="0.25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9" t="s">
        <v>79</v>
      </c>
      <c r="L185" s="89">
        <f>SUM(L181:L184)</f>
        <v>95178.278237816165</v>
      </c>
      <c r="M185" s="62" t="s">
        <v>52</v>
      </c>
      <c r="N185" s="86">
        <v>0.99222190205525995</v>
      </c>
      <c r="O185" s="86">
        <f>AC169+0*L159</f>
        <v>263.33333333333337</v>
      </c>
      <c r="P185" s="86">
        <f>N185*1.5*((O185-K184)*500/2)</f>
        <v>23441.242436055527</v>
      </c>
      <c r="Q185" s="179" t="s">
        <v>80</v>
      </c>
      <c r="R185" s="179"/>
      <c r="S185" s="180">
        <f>D183+H184+L185+P186</f>
        <v>155345.42662835066</v>
      </c>
      <c r="T185" s="180"/>
    </row>
    <row r="186" spans="1:20" x14ac:dyDescent="0.25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9" t="s">
        <v>79</v>
      </c>
      <c r="P186" s="89">
        <f>SUM(P181:P185)</f>
        <v>23660.001440591142</v>
      </c>
      <c r="Q186" s="179"/>
      <c r="R186" s="179"/>
      <c r="S186" s="180"/>
      <c r="T186" s="180"/>
    </row>
    <row r="187" spans="1:20" x14ac:dyDescent="0.25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</row>
    <row r="188" spans="1:20" x14ac:dyDescent="0.25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</row>
    <row r="189" spans="1:20" x14ac:dyDescent="0.25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</row>
    <row r="190" spans="1:20" ht="24.75" thickBot="1" x14ac:dyDescent="0.3">
      <c r="O190" s="131" t="s">
        <v>81</v>
      </c>
      <c r="P190" s="131"/>
      <c r="Q190" s="131">
        <f>(R176+P176+M177+S185)/AC169</f>
        <v>1010.831036671803</v>
      </c>
      <c r="R190" s="131"/>
    </row>
    <row r="191" spans="1:20" x14ac:dyDescent="0.25">
      <c r="A191" s="181" t="s">
        <v>96</v>
      </c>
      <c r="B191" s="182"/>
    </row>
    <row r="192" spans="1:20" ht="15.75" thickBot="1" x14ac:dyDescent="0.3">
      <c r="A192" s="183"/>
      <c r="B192" s="184"/>
    </row>
    <row r="193" spans="1:34" ht="21" x14ac:dyDescent="0.35">
      <c r="A193" s="185" t="s">
        <v>14</v>
      </c>
      <c r="B193" s="18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O193" s="166" t="s">
        <v>72</v>
      </c>
      <c r="P193" s="166"/>
      <c r="Q193" s="166"/>
      <c r="R193" s="166"/>
      <c r="S193" s="166"/>
      <c r="T193" s="166"/>
      <c r="U193" s="166"/>
      <c r="V193" s="166"/>
    </row>
    <row r="194" spans="1:34" ht="36" x14ac:dyDescent="0.25">
      <c r="A194" s="4" t="s">
        <v>15</v>
      </c>
      <c r="B194" s="4" t="s">
        <v>16</v>
      </c>
      <c r="C194" s="4" t="s">
        <v>31</v>
      </c>
      <c r="D194" s="6" t="s">
        <v>17</v>
      </c>
      <c r="E194" s="6" t="s">
        <v>18</v>
      </c>
      <c r="F194" s="6" t="s">
        <v>19</v>
      </c>
      <c r="G194" s="6" t="s">
        <v>20</v>
      </c>
      <c r="H194" s="6" t="s">
        <v>21</v>
      </c>
      <c r="I194" s="6" t="s">
        <v>22</v>
      </c>
      <c r="J194" s="6" t="s">
        <v>23</v>
      </c>
      <c r="K194" s="6" t="s">
        <v>24</v>
      </c>
      <c r="L194" s="6" t="s">
        <v>25</v>
      </c>
      <c r="M194" s="6" t="s">
        <v>26</v>
      </c>
      <c r="N194" s="8"/>
      <c r="O194" s="167" t="s">
        <v>32</v>
      </c>
      <c r="P194" s="167" t="s">
        <v>35</v>
      </c>
      <c r="Q194" s="167" t="s">
        <v>66</v>
      </c>
      <c r="R194" s="99" t="s">
        <v>67</v>
      </c>
      <c r="S194" s="99" t="s">
        <v>68</v>
      </c>
      <c r="T194" s="167" t="s">
        <v>69</v>
      </c>
      <c r="U194" s="71" t="s">
        <v>33</v>
      </c>
      <c r="V194" s="99" t="s">
        <v>70</v>
      </c>
    </row>
    <row r="195" spans="1:34" x14ac:dyDescent="0.25">
      <c r="A195" s="3" t="s">
        <v>27</v>
      </c>
      <c r="B195" s="3">
        <v>0</v>
      </c>
      <c r="C195" s="3">
        <v>0.3</v>
      </c>
      <c r="D195" s="3">
        <v>243</v>
      </c>
      <c r="E195" s="3">
        <v>1.73</v>
      </c>
      <c r="F195" s="3">
        <v>5</v>
      </c>
      <c r="G195" s="169">
        <v>12</v>
      </c>
      <c r="H195" s="3">
        <v>1820</v>
      </c>
      <c r="I195" s="169">
        <v>19645</v>
      </c>
      <c r="J195" s="3">
        <v>20</v>
      </c>
      <c r="K195" s="3">
        <v>40</v>
      </c>
      <c r="L195" s="3">
        <v>500</v>
      </c>
      <c r="M195" s="3">
        <v>1000</v>
      </c>
      <c r="O195" s="168"/>
      <c r="P195" s="168"/>
      <c r="Q195" s="168"/>
      <c r="R195" s="72" t="s">
        <v>71</v>
      </c>
      <c r="S195" s="72" t="s">
        <v>71</v>
      </c>
      <c r="T195" s="168"/>
      <c r="U195" s="73">
        <v>500</v>
      </c>
      <c r="V195" s="3">
        <v>1.5</v>
      </c>
    </row>
    <row r="196" spans="1:34" x14ac:dyDescent="0.25">
      <c r="A196" s="3" t="s">
        <v>28</v>
      </c>
      <c r="B196" s="3">
        <v>0</v>
      </c>
      <c r="C196" s="3">
        <v>0.3</v>
      </c>
      <c r="D196" s="3">
        <v>254</v>
      </c>
      <c r="E196" s="3">
        <v>1.88</v>
      </c>
      <c r="F196" s="3">
        <v>3</v>
      </c>
      <c r="G196" s="170"/>
      <c r="H196" s="3">
        <v>2720</v>
      </c>
      <c r="I196" s="170"/>
      <c r="J196" s="5"/>
      <c r="K196" s="5"/>
      <c r="L196" s="5"/>
      <c r="M196" s="5"/>
      <c r="O196" s="74">
        <v>1</v>
      </c>
      <c r="P196" s="74">
        <v>106</v>
      </c>
      <c r="Q196" s="74">
        <v>110</v>
      </c>
      <c r="R196" s="74">
        <v>6</v>
      </c>
      <c r="S196" s="74">
        <v>5</v>
      </c>
      <c r="T196" s="74">
        <f>R196*$U$5/60+S196</f>
        <v>55</v>
      </c>
      <c r="U196" s="75"/>
    </row>
    <row r="197" spans="1:34" x14ac:dyDescent="0.25">
      <c r="A197" s="3" t="s">
        <v>29</v>
      </c>
      <c r="B197" s="3">
        <v>0</v>
      </c>
      <c r="C197" s="3">
        <v>0.3</v>
      </c>
      <c r="D197" s="3">
        <v>143</v>
      </c>
      <c r="E197" s="3">
        <v>2.4300000000000002</v>
      </c>
      <c r="F197" s="3">
        <v>8</v>
      </c>
      <c r="G197" s="170"/>
      <c r="H197" s="3">
        <v>3700</v>
      </c>
      <c r="I197" s="170"/>
      <c r="J197" s="5"/>
      <c r="K197" s="140" t="s">
        <v>73</v>
      </c>
      <c r="L197" s="141">
        <v>12</v>
      </c>
      <c r="M197" s="140" t="s">
        <v>74</v>
      </c>
      <c r="N197" s="141">
        <v>19645</v>
      </c>
      <c r="O197" s="74">
        <v>2</v>
      </c>
      <c r="P197" s="74">
        <v>76</v>
      </c>
      <c r="Q197" s="74">
        <v>40</v>
      </c>
      <c r="R197" s="74">
        <v>9</v>
      </c>
      <c r="S197" s="74">
        <v>2</v>
      </c>
      <c r="T197" s="74">
        <f t="shared" ref="T197:T199" si="20">R197*$U$5/60+S197</f>
        <v>77</v>
      </c>
      <c r="U197" s="75"/>
    </row>
    <row r="198" spans="1:34" x14ac:dyDescent="0.25">
      <c r="A198" s="3" t="s">
        <v>30</v>
      </c>
      <c r="B198" s="3">
        <v>0</v>
      </c>
      <c r="C198" s="3">
        <v>0.3</v>
      </c>
      <c r="D198" s="3">
        <v>449</v>
      </c>
      <c r="E198" s="3">
        <v>2.5299999999999998</v>
      </c>
      <c r="F198" s="3">
        <v>4</v>
      </c>
      <c r="G198" s="171"/>
      <c r="H198" s="3">
        <v>4320</v>
      </c>
      <c r="I198" s="171"/>
      <c r="J198" s="5"/>
      <c r="K198" s="140"/>
      <c r="L198" s="141"/>
      <c r="M198" s="140"/>
      <c r="N198" s="141"/>
      <c r="O198" s="74">
        <v>3</v>
      </c>
      <c r="P198" s="74">
        <v>95</v>
      </c>
      <c r="Q198" s="74">
        <v>67</v>
      </c>
      <c r="R198" s="74">
        <v>5</v>
      </c>
      <c r="S198" s="74">
        <v>4</v>
      </c>
      <c r="T198" s="74">
        <f t="shared" si="20"/>
        <v>45.666666666666664</v>
      </c>
      <c r="U198" s="75"/>
    </row>
    <row r="199" spans="1:34" ht="15.75" thickBo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O199" s="74">
        <v>4</v>
      </c>
      <c r="P199" s="74">
        <v>140</v>
      </c>
      <c r="Q199" s="94">
        <v>85</v>
      </c>
      <c r="R199" s="94">
        <v>8</v>
      </c>
      <c r="S199" s="94">
        <v>3</v>
      </c>
      <c r="T199" s="74">
        <f t="shared" si="20"/>
        <v>69.666666666666671</v>
      </c>
    </row>
    <row r="200" spans="1:34" ht="15" customHeight="1" x14ac:dyDescent="0.25">
      <c r="A200" s="142" t="s">
        <v>101</v>
      </c>
      <c r="B200" s="144" t="s">
        <v>107</v>
      </c>
      <c r="C200" s="144"/>
      <c r="D200" s="144"/>
      <c r="E200" s="144"/>
      <c r="F200" s="20" t="s">
        <v>27</v>
      </c>
      <c r="G200" s="20" t="s">
        <v>28</v>
      </c>
      <c r="H200" s="20" t="s">
        <v>29</v>
      </c>
      <c r="I200" s="20" t="s">
        <v>30</v>
      </c>
    </row>
    <row r="201" spans="1:34" ht="15.75" customHeight="1" thickBot="1" x14ac:dyDescent="0.3">
      <c r="A201" s="143"/>
      <c r="B201" s="145"/>
      <c r="C201" s="145"/>
      <c r="D201" s="145"/>
      <c r="E201" s="145"/>
      <c r="F201" s="20">
        <v>168</v>
      </c>
      <c r="G201" s="26">
        <v>84</v>
      </c>
      <c r="H201" s="26">
        <v>84</v>
      </c>
      <c r="I201" s="26">
        <v>252</v>
      </c>
    </row>
    <row r="202" spans="1:34" ht="15.75" customHeight="1" thickBot="1" x14ac:dyDescent="0.3">
      <c r="A202" s="143"/>
      <c r="B202" s="145"/>
      <c r="C202" s="145"/>
      <c r="D202" s="145"/>
      <c r="E202" s="145"/>
      <c r="F202" s="7"/>
      <c r="G202" s="146" t="s">
        <v>27</v>
      </c>
      <c r="H202" s="147"/>
      <c r="I202" s="147"/>
      <c r="J202" s="147"/>
      <c r="K202" s="148"/>
      <c r="L202" s="149" t="s">
        <v>28</v>
      </c>
      <c r="M202" s="150"/>
      <c r="N202" s="150"/>
      <c r="O202" s="150"/>
      <c r="P202" s="151"/>
      <c r="Q202" s="152" t="s">
        <v>29</v>
      </c>
      <c r="R202" s="153"/>
      <c r="S202" s="153"/>
      <c r="T202" s="153"/>
      <c r="U202" s="154"/>
      <c r="V202" s="155" t="s">
        <v>30</v>
      </c>
      <c r="W202" s="156"/>
      <c r="X202" s="156"/>
      <c r="Y202" s="156"/>
      <c r="Z202" s="157"/>
      <c r="AA202" s="158" t="s">
        <v>42</v>
      </c>
      <c r="AB202" s="159"/>
      <c r="AC202" s="160" t="s">
        <v>44</v>
      </c>
      <c r="AD202" s="162" t="s">
        <v>47</v>
      </c>
      <c r="AE202" s="163"/>
      <c r="AF202" s="163"/>
      <c r="AG202" s="164"/>
      <c r="AH202" s="138" t="s">
        <v>62</v>
      </c>
    </row>
    <row r="203" spans="1:34" ht="36.75" x14ac:dyDescent="0.25">
      <c r="A203" s="21" t="s">
        <v>32</v>
      </c>
      <c r="B203" s="22" t="s">
        <v>37</v>
      </c>
      <c r="C203" s="23" t="s">
        <v>33</v>
      </c>
      <c r="D203" s="22" t="s">
        <v>38</v>
      </c>
      <c r="E203" s="22" t="s">
        <v>34</v>
      </c>
      <c r="F203" s="25" t="s">
        <v>35</v>
      </c>
      <c r="G203" s="27" t="s">
        <v>39</v>
      </c>
      <c r="H203" s="10" t="s">
        <v>40</v>
      </c>
      <c r="I203" s="10" t="s">
        <v>45</v>
      </c>
      <c r="J203" s="10" t="s">
        <v>46</v>
      </c>
      <c r="K203" s="28" t="s">
        <v>41</v>
      </c>
      <c r="L203" s="30" t="s">
        <v>39</v>
      </c>
      <c r="M203" s="13" t="s">
        <v>40</v>
      </c>
      <c r="N203" s="13" t="s">
        <v>45</v>
      </c>
      <c r="O203" s="13" t="s">
        <v>46</v>
      </c>
      <c r="P203" s="31" t="s">
        <v>41</v>
      </c>
      <c r="Q203" s="33" t="s">
        <v>39</v>
      </c>
      <c r="R203" s="12" t="s">
        <v>40</v>
      </c>
      <c r="S203" s="12" t="s">
        <v>45</v>
      </c>
      <c r="T203" s="12" t="s">
        <v>46</v>
      </c>
      <c r="U203" s="34" t="s">
        <v>41</v>
      </c>
      <c r="V203" s="36" t="s">
        <v>39</v>
      </c>
      <c r="W203" s="11" t="s">
        <v>40</v>
      </c>
      <c r="X203" s="11" t="s">
        <v>45</v>
      </c>
      <c r="Y203" s="11" t="s">
        <v>46</v>
      </c>
      <c r="Z203" s="37" t="s">
        <v>41</v>
      </c>
      <c r="AA203" s="39" t="s">
        <v>41</v>
      </c>
      <c r="AB203" s="40" t="s">
        <v>43</v>
      </c>
      <c r="AC203" s="161"/>
      <c r="AD203" s="43" t="s">
        <v>27</v>
      </c>
      <c r="AE203" s="1" t="s">
        <v>28</v>
      </c>
      <c r="AF203" s="1" t="s">
        <v>29</v>
      </c>
      <c r="AG203" s="1" t="s">
        <v>30</v>
      </c>
      <c r="AH203" s="139"/>
    </row>
    <row r="204" spans="1:34" x14ac:dyDescent="0.25">
      <c r="A204" s="24">
        <v>3</v>
      </c>
      <c r="B204" s="9">
        <v>5</v>
      </c>
      <c r="C204" s="9">
        <v>500</v>
      </c>
      <c r="D204" s="9">
        <v>4</v>
      </c>
      <c r="E204" s="48">
        <f>B204*C204/60+D204</f>
        <v>45.666666666666664</v>
      </c>
      <c r="F204" s="14">
        <v>95</v>
      </c>
      <c r="G204" s="49">
        <f>B$5*(1-AD204*C$5)</f>
        <v>0</v>
      </c>
      <c r="H204" s="50">
        <f>G204+E204</f>
        <v>45.666666666666664</v>
      </c>
      <c r="I204" s="15">
        <f>(H204/D$5)^E$5</f>
        <v>5.5463587496332782E-2</v>
      </c>
      <c r="J204" s="15">
        <f>(G204/D$5)^E$5</f>
        <v>0</v>
      </c>
      <c r="K204" s="29">
        <f>1-EXP(J204-I204)</f>
        <v>5.3953529036131931E-2</v>
      </c>
      <c r="L204" s="51">
        <f>B$6*(1-AE204*C$6)</f>
        <v>0</v>
      </c>
      <c r="M204" s="52">
        <f>L204+E204</f>
        <v>45.666666666666664</v>
      </c>
      <c r="N204" s="17">
        <f>(M204/D$6)^E$6</f>
        <v>3.9715434673642101E-2</v>
      </c>
      <c r="O204" s="17">
        <f>(L204/D$6)^E$6</f>
        <v>0</v>
      </c>
      <c r="P204" s="32">
        <f>1-EXP(O204-N204)</f>
        <v>3.8937114582545562E-2</v>
      </c>
      <c r="Q204" s="53">
        <f>B$7*(1-AF204*C$7)</f>
        <v>0</v>
      </c>
      <c r="R204" s="54">
        <f>Q204+E204</f>
        <v>45.666666666666664</v>
      </c>
      <c r="S204" s="16">
        <f>(R204/D$7)^E$7</f>
        <v>6.2425173515745024E-2</v>
      </c>
      <c r="T204" s="16">
        <f>(Q204/D$7)^E$7</f>
        <v>0</v>
      </c>
      <c r="U204" s="35">
        <f>1-EXP(T204-S204)</f>
        <v>6.0516641579816954E-2</v>
      </c>
      <c r="V204" s="55">
        <f>B$8*(1-AG204*C$8)</f>
        <v>0</v>
      </c>
      <c r="W204" s="56">
        <f>V204+E204</f>
        <v>45.666666666666664</v>
      </c>
      <c r="X204" s="18">
        <f>(W204/D$8)^E$8</f>
        <v>3.0803709406480337E-3</v>
      </c>
      <c r="Y204" s="18">
        <f>(V204/D$8)^E$8</f>
        <v>0</v>
      </c>
      <c r="Z204" s="38">
        <f>1-EXP(Y204-X204)</f>
        <v>3.0756314657778283E-3</v>
      </c>
      <c r="AA204" s="41">
        <f>K204*P204*U204*Z204</f>
        <v>3.9101438569080559E-7</v>
      </c>
      <c r="AB204" s="42">
        <f>1-AA204</f>
        <v>0.99999960898561435</v>
      </c>
      <c r="AC204" s="47">
        <f>(AD204*F$5+AE204*F$6+AF204*F$7+AG204*F$8)+E204</f>
        <v>45.666666666666664</v>
      </c>
      <c r="AD204" s="43">
        <v>0</v>
      </c>
      <c r="AE204" s="1">
        <v>0</v>
      </c>
      <c r="AF204" s="1">
        <v>0</v>
      </c>
      <c r="AG204" s="1">
        <v>0</v>
      </c>
      <c r="AH204" s="44">
        <v>67</v>
      </c>
    </row>
    <row r="205" spans="1:34" x14ac:dyDescent="0.25">
      <c r="A205" s="24">
        <v>4</v>
      </c>
      <c r="B205" s="9">
        <v>8</v>
      </c>
      <c r="C205" s="9">
        <v>500</v>
      </c>
      <c r="D205" s="9">
        <v>3</v>
      </c>
      <c r="E205" s="9">
        <f t="shared" ref="E205:E207" si="21">B205*C205/60+D205</f>
        <v>69.666666666666671</v>
      </c>
      <c r="F205" s="14">
        <v>140</v>
      </c>
      <c r="G205" s="49">
        <f>H204*(1-AD205*C$5)</f>
        <v>45.666666666666664</v>
      </c>
      <c r="H205" s="50">
        <f>G205+E205</f>
        <v>115.33333333333334</v>
      </c>
      <c r="I205" s="15">
        <f>(H205/D$5)^E$5</f>
        <v>0.27547552976184858</v>
      </c>
      <c r="J205" s="15">
        <f>(G205/D$5)^E$5</f>
        <v>5.5463587496332782E-2</v>
      </c>
      <c r="K205" s="29">
        <f>1-EXP(J205-I205)</f>
        <v>0.19749078587286173</v>
      </c>
      <c r="L205" s="51">
        <f>M204*(1-AE205*C$6)</f>
        <v>45.666666666666664</v>
      </c>
      <c r="M205" s="52">
        <f>L205+E205</f>
        <v>115.33333333333334</v>
      </c>
      <c r="N205" s="17">
        <f>(M205/D$6)^E$6</f>
        <v>0.22666669883015245</v>
      </c>
      <c r="O205" s="17">
        <f>(L205/D$6)^E$6</f>
        <v>3.9715434673642101E-2</v>
      </c>
      <c r="P205" s="32">
        <f>1-EXP(O205-N205)</f>
        <v>0.17051583898942002</v>
      </c>
      <c r="Q205" s="53">
        <f>R204*(1-AF205*C$7)</f>
        <v>45.666666666666664</v>
      </c>
      <c r="R205" s="54">
        <f>Q205+E205</f>
        <v>115.33333333333334</v>
      </c>
      <c r="S205" s="16">
        <f>(R205/D$7)^E$7</f>
        <v>0.59303960801780564</v>
      </c>
      <c r="T205" s="16">
        <f>(Q205/D$7)^E$7</f>
        <v>6.2425173515745024E-2</v>
      </c>
      <c r="U205" s="35">
        <f>1-EXP(T205-S205)</f>
        <v>0.41175657843790647</v>
      </c>
      <c r="V205" s="55">
        <f>W204*(1-AG205*C$8)</f>
        <v>45.666666666666664</v>
      </c>
      <c r="W205" s="56">
        <f>V205+E205</f>
        <v>115.33333333333334</v>
      </c>
      <c r="X205" s="18">
        <f>(W205/D$8)^E$8</f>
        <v>3.2104248826077181E-2</v>
      </c>
      <c r="Y205" s="18">
        <f>(V205/D$8)^E$8</f>
        <v>3.0803709406480337E-3</v>
      </c>
      <c r="Z205" s="38">
        <f>1-EXP(Y205-X205)</f>
        <v>2.8606730627511734E-2</v>
      </c>
      <c r="AA205" s="41">
        <f>K205*P205*U205*Z205</f>
        <v>3.9666176239845391E-4</v>
      </c>
      <c r="AB205" s="42">
        <f>1-AA205</f>
        <v>0.9996033382376015</v>
      </c>
      <c r="AC205" s="47">
        <f>AF205*F$7+E205+AC204</f>
        <v>115.33333333333334</v>
      </c>
      <c r="AD205" s="43">
        <v>0</v>
      </c>
      <c r="AE205" s="1">
        <v>0</v>
      </c>
      <c r="AF205" s="1">
        <v>0</v>
      </c>
      <c r="AG205" s="1">
        <v>0</v>
      </c>
      <c r="AH205" s="44">
        <v>85</v>
      </c>
    </row>
    <row r="206" spans="1:34" x14ac:dyDescent="0.25">
      <c r="A206" s="57">
        <v>1</v>
      </c>
      <c r="B206" s="58">
        <v>6</v>
      </c>
      <c r="C206" s="58">
        <v>500</v>
      </c>
      <c r="D206" s="58">
        <v>5</v>
      </c>
      <c r="E206" s="66">
        <f t="shared" si="21"/>
        <v>55</v>
      </c>
      <c r="F206" s="67">
        <v>106</v>
      </c>
      <c r="G206" s="68">
        <f>H205*(1-AD206*C$5)</f>
        <v>115.33333333333334</v>
      </c>
      <c r="H206" s="69">
        <f>G206+E206</f>
        <v>170.33333333333334</v>
      </c>
      <c r="I206" s="70">
        <f>(H206/D$5)^E$5</f>
        <v>0.54081600193052237</v>
      </c>
      <c r="J206" s="70">
        <f>(G206/D$5)^E$5</f>
        <v>0.27547552976184858</v>
      </c>
      <c r="K206" s="29">
        <f>1-EXP(J206-I206)</f>
        <v>0.23305521783504357</v>
      </c>
      <c r="L206" s="51">
        <f>M205*(1-AE206*C$6)</f>
        <v>80.733333333333334</v>
      </c>
      <c r="M206" s="52">
        <f>L206+E206</f>
        <v>135.73333333333335</v>
      </c>
      <c r="N206" s="17">
        <f>(M206/D$6)^E$6</f>
        <v>0.30786708540357188</v>
      </c>
      <c r="O206" s="17">
        <f>(L206/D$6)^E$6</f>
        <v>0.11592364675943075</v>
      </c>
      <c r="P206" s="32">
        <f>1-EXP(O206-N206)</f>
        <v>0.17464644971265575</v>
      </c>
      <c r="Q206" s="53">
        <f>R205*(1-AF206*C$7)</f>
        <v>80.733333333333334</v>
      </c>
      <c r="R206" s="54">
        <f>Q206+E206</f>
        <v>135.73333333333335</v>
      </c>
      <c r="S206" s="16">
        <f>(R206/D$7)^E$7</f>
        <v>0.88097109537085294</v>
      </c>
      <c r="T206" s="16">
        <f>(Q206/D$7)^E$7</f>
        <v>0.24927110408438607</v>
      </c>
      <c r="U206" s="35">
        <f>1-EXP(T206-S206)</f>
        <v>0.46831283126270695</v>
      </c>
      <c r="V206" s="55">
        <f>W205*(1-AG206*C$8)</f>
        <v>115.33333333333334</v>
      </c>
      <c r="W206" s="56">
        <f>V206+E206</f>
        <v>170.33333333333334</v>
      </c>
      <c r="X206" s="18">
        <f>(W206/D$8)^E$8</f>
        <v>8.6100338756432887E-2</v>
      </c>
      <c r="Y206" s="18">
        <f>(V206/D$8)^E$8</f>
        <v>3.2104248826077181E-2</v>
      </c>
      <c r="Z206" s="38">
        <f>1-EXP(Y206-X206)</f>
        <v>5.2564188965439573E-2</v>
      </c>
      <c r="AA206" s="41">
        <f>K206*P206*U206*Z206</f>
        <v>1.0019466955616561E-3</v>
      </c>
      <c r="AB206" s="42">
        <f>1-AA206</f>
        <v>0.99899805330443836</v>
      </c>
      <c r="AC206" s="47">
        <f>(AF206*F$7)+E206+AC205</f>
        <v>178.33333333333334</v>
      </c>
      <c r="AD206" s="77">
        <v>0</v>
      </c>
      <c r="AE206" s="78">
        <v>1</v>
      </c>
      <c r="AF206" s="78">
        <v>1</v>
      </c>
      <c r="AG206" s="78">
        <v>0</v>
      </c>
      <c r="AH206" s="79">
        <v>110</v>
      </c>
    </row>
    <row r="207" spans="1:34" ht="15.75" thickBot="1" x14ac:dyDescent="0.3">
      <c r="A207" s="76">
        <v>2</v>
      </c>
      <c r="B207" s="58">
        <v>9</v>
      </c>
      <c r="C207" s="58">
        <v>500</v>
      </c>
      <c r="D207" s="58">
        <v>2</v>
      </c>
      <c r="E207" s="66">
        <f t="shared" si="21"/>
        <v>77</v>
      </c>
      <c r="F207" s="67">
        <v>76</v>
      </c>
      <c r="G207" s="68">
        <f>H206*(1-AD207*C$5)</f>
        <v>119.23333333333333</v>
      </c>
      <c r="H207" s="69">
        <f>G207+E207</f>
        <v>196.23333333333335</v>
      </c>
      <c r="I207" s="70">
        <f>(H207/D$5)^E$5</f>
        <v>0.69087274166660284</v>
      </c>
      <c r="J207" s="70">
        <f>(G207/D$5)^E$5</f>
        <v>0.29178915240732939</v>
      </c>
      <c r="K207" s="29">
        <f>1-EXP(J207-I207)</f>
        <v>0.32906538391816376</v>
      </c>
      <c r="L207" s="51">
        <f>M206*(1-AE207*C$6)</f>
        <v>95.013333333333335</v>
      </c>
      <c r="M207" s="52">
        <f>L207+E207</f>
        <v>172.01333333333332</v>
      </c>
      <c r="N207" s="17">
        <f>(M207/D$6)^E$6</f>
        <v>0.4805840832144625</v>
      </c>
      <c r="O207" s="17">
        <f>(L207/D$6)^E$6</f>
        <v>0.15745178026315176</v>
      </c>
      <c r="P207" s="32">
        <f>1-EXP(O207-N207)</f>
        <v>0.27612192317372397</v>
      </c>
      <c r="Q207" s="53">
        <f>R206*(1-AF207*C$7)</f>
        <v>95.013333333333335</v>
      </c>
      <c r="R207" s="54">
        <f>Q207+E207</f>
        <v>172.01333333333332</v>
      </c>
      <c r="S207" s="16">
        <f>(R207/D$7)^E$7</f>
        <v>1.5665683956775553</v>
      </c>
      <c r="T207" s="16">
        <f>(Q207/D$7)^E$7</f>
        <v>0.37029674686236147</v>
      </c>
      <c r="U207" s="35">
        <f>1-EXP(T207-S207)</f>
        <v>0.69768073429638378</v>
      </c>
      <c r="V207" s="55">
        <f>W206*(1-AG207*C$8)</f>
        <v>170.33333333333334</v>
      </c>
      <c r="W207" s="56">
        <f>V207+E207</f>
        <v>247.33333333333334</v>
      </c>
      <c r="X207" s="18">
        <f>(W207/D$8)^E$8</f>
        <v>0.22121871391987213</v>
      </c>
      <c r="Y207" s="18">
        <f>(V207/D$8)^E$8</f>
        <v>8.6100338756432887E-2</v>
      </c>
      <c r="Z207" s="38">
        <f>1-EXP(Y207-X207)</f>
        <v>0.1263875084545022</v>
      </c>
      <c r="AA207" s="41">
        <f>K207*P207*U207*Z207</f>
        <v>8.0120559167400438E-3</v>
      </c>
      <c r="AB207" s="42">
        <f>1-AA207</f>
        <v>0.99198794408325996</v>
      </c>
      <c r="AC207" s="47">
        <f>(AF207*F$7)+E207+AC206</f>
        <v>263.33333333333337</v>
      </c>
      <c r="AD207" s="80">
        <v>1</v>
      </c>
      <c r="AE207" s="45">
        <v>1</v>
      </c>
      <c r="AF207" s="81">
        <v>1</v>
      </c>
      <c r="AG207" s="45">
        <v>0</v>
      </c>
      <c r="AH207" s="82">
        <v>40</v>
      </c>
    </row>
    <row r="208" spans="1:34" ht="18.75" x14ac:dyDescent="0.3">
      <c r="A208" s="132" t="s">
        <v>53</v>
      </c>
      <c r="B208" s="132"/>
      <c r="C208" s="132"/>
      <c r="D208" s="132"/>
      <c r="E208" s="132"/>
      <c r="F208" s="132"/>
      <c r="G208" s="132"/>
      <c r="H208" s="132"/>
      <c r="I208" s="132"/>
      <c r="J208" s="132"/>
      <c r="AG208" s="46"/>
    </row>
    <row r="209" spans="1:20" ht="15.75" x14ac:dyDescent="0.25">
      <c r="A209" s="19" t="s">
        <v>54</v>
      </c>
      <c r="B209" s="60" t="s">
        <v>49</v>
      </c>
      <c r="C209" s="61" t="s">
        <v>50</v>
      </c>
      <c r="D209" s="19" t="s">
        <v>82</v>
      </c>
      <c r="E209" s="60" t="s">
        <v>57</v>
      </c>
      <c r="F209" s="61" t="s">
        <v>50</v>
      </c>
      <c r="G209" s="19" t="s">
        <v>58</v>
      </c>
      <c r="H209" s="60" t="s">
        <v>61</v>
      </c>
      <c r="I209" s="61" t="s">
        <v>50</v>
      </c>
      <c r="J209" s="19" t="s">
        <v>48</v>
      </c>
      <c r="K209" s="83" t="s">
        <v>84</v>
      </c>
      <c r="L209" s="61" t="s">
        <v>50</v>
      </c>
      <c r="M209" s="61" t="s">
        <v>85</v>
      </c>
      <c r="O209" s="174" t="s">
        <v>64</v>
      </c>
      <c r="P209" s="174"/>
      <c r="Q209" s="175" t="s">
        <v>109</v>
      </c>
      <c r="R209" s="175"/>
    </row>
    <row r="210" spans="1:20" ht="24.75" x14ac:dyDescent="0.25">
      <c r="A210" s="61" t="s">
        <v>51</v>
      </c>
      <c r="B210" s="1">
        <f>AA204</f>
        <v>3.9101438569080559E-7</v>
      </c>
      <c r="C210" s="59">
        <f>MAX(AC204+1*L197-F204,0)</f>
        <v>0</v>
      </c>
      <c r="D210" s="62" t="s">
        <v>55</v>
      </c>
      <c r="E210" s="1">
        <f>AA204*AA205</f>
        <v>1.5510045535126374E-10</v>
      </c>
      <c r="F210" s="1">
        <f>MAX(AC205+2*L197-F205,0)</f>
        <v>0</v>
      </c>
      <c r="G210" s="62" t="s">
        <v>59</v>
      </c>
      <c r="H210" s="1">
        <f>AA204*AA205*AA206</f>
        <v>1.554023887193069E-13</v>
      </c>
      <c r="I210" s="1">
        <f>AC206+3*L197-F206</f>
        <v>108.33333333333334</v>
      </c>
      <c r="J210" s="62" t="s">
        <v>83</v>
      </c>
      <c r="K210" s="1">
        <f>AA204*AA205*AA206*AA207</f>
        <v>1.245092628014059E-15</v>
      </c>
      <c r="L210" s="1">
        <f>AC207+4*L197-F207</f>
        <v>235.33333333333337</v>
      </c>
      <c r="M210" s="1">
        <f>B210*C210*AH204+E210*F210*AH205+H210*I210*AH206+K210*L210*AH207</f>
        <v>1.863598937510113E-9</v>
      </c>
      <c r="O210" s="1" t="s">
        <v>27</v>
      </c>
      <c r="P210" s="1">
        <f>H195</f>
        <v>1820</v>
      </c>
      <c r="Q210" s="1">
        <f>(K204*(1-P204)*(1-U204)*(1-Z204))+(P204*(1-K204)*(1-U204)*(1-Z204))+(U204*(1-K204)*(1-P204)*(1-Z204))+(Z204*(1-K204)*(1-P204)*(1-U204))</f>
        <v>0.1405459062810282</v>
      </c>
      <c r="R210" s="1">
        <f>Q210*(L$7*(J$5*K$5+L$5)+I$5)</f>
        <v>4953.5404668748388</v>
      </c>
    </row>
    <row r="211" spans="1:20" ht="24.75" x14ac:dyDescent="0.25">
      <c r="A211" s="62" t="s">
        <v>52</v>
      </c>
      <c r="B211" s="1">
        <f>AB204</f>
        <v>0.99999960898561435</v>
      </c>
      <c r="C211" s="59">
        <f>MAX(AC204-F204,0)</f>
        <v>0</v>
      </c>
      <c r="D211" s="62" t="s">
        <v>56</v>
      </c>
      <c r="E211" s="1">
        <f>AA204*AB205+AA205*AB204</f>
        <v>3.9705246658323402E-4</v>
      </c>
      <c r="F211" s="1">
        <f>MAX(AC205+1*L197-F205,0)</f>
        <v>0</v>
      </c>
      <c r="G211" s="62" t="s">
        <v>60</v>
      </c>
      <c r="H211" s="1">
        <f>AA204*AA205*AB206+AA205*AA206*AB204+AA204*AA206*AB205</f>
        <v>3.9798035191063874E-7</v>
      </c>
      <c r="I211" s="1">
        <f>AC206+2*L197-F206</f>
        <v>96.333333333333343</v>
      </c>
      <c r="J211" s="62" t="s">
        <v>59</v>
      </c>
      <c r="K211">
        <f>AB204*AA205*AA206*AA207+AB205*AA204*AA206*AA207*+AB206*AA204*AA205*AA207+AB207*AA204*AA205*AA206</f>
        <v>3.1844158794453302E-9</v>
      </c>
      <c r="L211" s="1">
        <f>AC207+3*L197-F207</f>
        <v>223.33333333333337</v>
      </c>
      <c r="M211" s="1">
        <f>B211*C211*AH204+E211*F211*AH205+H211*I211*AH206+K211*L211*AH207</f>
        <v>4.2457125776027803E-3</v>
      </c>
      <c r="O211" s="1" t="s">
        <v>28</v>
      </c>
      <c r="P211" s="1">
        <f>2*H196</f>
        <v>5440</v>
      </c>
      <c r="Q211" s="1">
        <f t="shared" ref="Q211:Q213" si="22">(K205*(1-P205)*(1-U205)*(1-Z205))+(P205*(1-K205)*(1-U205)*(1-Z205))+(U205*(1-K205)*(1-P205)*(1-Z205))+(Z205*(1-K205)*(1-P205)*(1-U205))</f>
        <v>0.44925379312516944</v>
      </c>
      <c r="R211" s="1">
        <f t="shared" ref="R211:R213" si="23">Q211*(L$7*(J$5*K$5+L$5)+I$5)</f>
        <v>15833.949938696596</v>
      </c>
    </row>
    <row r="212" spans="1:20" ht="24.75" x14ac:dyDescent="0.25">
      <c r="A212" s="1"/>
      <c r="B212" s="1"/>
      <c r="C212" s="1"/>
      <c r="D212" s="62" t="s">
        <v>52</v>
      </c>
      <c r="E212" s="1">
        <f>AB204*AB205</f>
        <v>0.99960294737831634</v>
      </c>
      <c r="F212" s="59">
        <f>MAX(AC205-F205,0)</f>
        <v>0</v>
      </c>
      <c r="G212" s="62" t="s">
        <v>56</v>
      </c>
      <c r="H212" s="1">
        <f>AA204*AB205*AB206+AA205*AB204*AB206*+AA206*AB204*AB205</f>
        <v>7.873456002676803E-7</v>
      </c>
      <c r="I212" s="1">
        <f>AC206+1*L197-F206</f>
        <v>84.333333333333343</v>
      </c>
      <c r="J212" s="62" t="s">
        <v>60</v>
      </c>
      <c r="K212" s="1">
        <f>AA204*AA205*AB206*AB207 + AA204*AA206*AB205*AB207 + AA204*AA207*AB205*AB206 + AA205*AA206*AB204*AB207 + AA205*AA207*AB204*AB206 + AA206*AA207*AB204*AB205</f>
        <v>1.159727642559992E-5</v>
      </c>
      <c r="L212" s="1">
        <f>AC207+2*L197-F207</f>
        <v>211.33333333333337</v>
      </c>
      <c r="M212" s="1">
        <f>B212*C212*AH204+E212*F212*AH205+H212*I212*AH206+K212*L212*AH207</f>
        <v>0.10533958606955453</v>
      </c>
      <c r="O212" s="1" t="s">
        <v>29</v>
      </c>
      <c r="P212" s="1">
        <f>2*(F197*(J195*K195+L195)+H197)</f>
        <v>28200</v>
      </c>
      <c r="Q212" s="1">
        <f t="shared" si="22"/>
        <v>0.46291971105539903</v>
      </c>
      <c r="R212" s="1">
        <f t="shared" si="23"/>
        <v>16315.605216147538</v>
      </c>
    </row>
    <row r="213" spans="1:20" ht="24.75" x14ac:dyDescent="0.25">
      <c r="A213" s="1"/>
      <c r="B213" s="1"/>
      <c r="C213" s="1"/>
      <c r="D213" s="1"/>
      <c r="E213" s="1"/>
      <c r="F213" s="1"/>
      <c r="G213" s="62" t="s">
        <v>52</v>
      </c>
      <c r="H213" s="1">
        <f>AB204*AB205*AB206</f>
        <v>0.99860139850831697</v>
      </c>
      <c r="I213" s="63">
        <f>AC206-F206</f>
        <v>72.333333333333343</v>
      </c>
      <c r="J213" s="62" t="s">
        <v>56</v>
      </c>
      <c r="K213" s="1">
        <f>AA204*AB205*AB206*AB207+AA205*AB204*AB206*AB207+AA206*AB204*AB205*AB207+AA207*AB204*AB205*AB206</f>
        <v>9.3878512698446926E-3</v>
      </c>
      <c r="L213" s="1">
        <f>AC207+1*L197-F207</f>
        <v>199.33333333333337</v>
      </c>
      <c r="M213" s="1">
        <f>B213*C213*AH204+E213*F213*AH205+H213*I213*AH206+K213*L213*AH207</f>
        <v>8020.3909282560726</v>
      </c>
      <c r="O213" s="1" t="s">
        <v>30</v>
      </c>
      <c r="P213" s="1">
        <v>0</v>
      </c>
      <c r="Q213" s="1">
        <f t="shared" si="22"/>
        <v>0.42641818468181547</v>
      </c>
      <c r="R213" s="1">
        <f t="shared" si="23"/>
        <v>15029.108919110586</v>
      </c>
    </row>
    <row r="214" spans="1:20" ht="30" x14ac:dyDescent="0.25">
      <c r="I214" s="84"/>
      <c r="J214" s="62" t="s">
        <v>52</v>
      </c>
      <c r="K214" s="85">
        <f>AB204*AB205*AB206*AB207</f>
        <v>0.99060054826493349</v>
      </c>
      <c r="L214" s="1">
        <f>AC207+0*L197-F207</f>
        <v>187.33333333333337</v>
      </c>
      <c r="M214" s="1">
        <f>B214*C214*AH204+E214*F214*AH205+H214*I214*AH206+K214*L214*AH207</f>
        <v>7422.9001083319035</v>
      </c>
      <c r="O214" s="64" t="s">
        <v>65</v>
      </c>
      <c r="P214" s="65">
        <f>SUM(P210:P213)</f>
        <v>35460</v>
      </c>
      <c r="Q214" s="96" t="s">
        <v>108</v>
      </c>
      <c r="R214" s="97">
        <f>SUM(R210:R213)</f>
        <v>52132.20454082956</v>
      </c>
    </row>
    <row r="215" spans="1:20" x14ac:dyDescent="0.25">
      <c r="L215" s="176" t="s">
        <v>63</v>
      </c>
      <c r="M215" s="177">
        <f>SUM(M210:M214)</f>
        <v>15443.400621888486</v>
      </c>
    </row>
    <row r="216" spans="1:20" x14ac:dyDescent="0.25">
      <c r="L216" s="176"/>
      <c r="M216" s="177"/>
    </row>
    <row r="217" spans="1:20" x14ac:dyDescent="0.25">
      <c r="A217" s="178" t="s">
        <v>90</v>
      </c>
      <c r="B217" s="178"/>
      <c r="C217" s="178"/>
      <c r="D217" s="178"/>
      <c r="E217" s="178"/>
      <c r="F217" s="178"/>
      <c r="G217" s="178"/>
      <c r="H217" s="178"/>
      <c r="I217" s="178"/>
      <c r="J217" s="178"/>
      <c r="K217" s="178"/>
      <c r="L217" s="178"/>
      <c r="M217" s="178"/>
      <c r="N217" s="178"/>
    </row>
    <row r="218" spans="1:20" ht="15.75" x14ac:dyDescent="0.25">
      <c r="A218" s="87" t="s">
        <v>76</v>
      </c>
      <c r="B218" s="62" t="s">
        <v>49</v>
      </c>
      <c r="C218" s="90" t="s">
        <v>102</v>
      </c>
      <c r="D218" s="62" t="s">
        <v>88</v>
      </c>
      <c r="E218" s="87" t="s">
        <v>86</v>
      </c>
      <c r="F218" s="62" t="s">
        <v>57</v>
      </c>
      <c r="G218" s="90" t="s">
        <v>103</v>
      </c>
      <c r="H218" s="62" t="s">
        <v>88</v>
      </c>
      <c r="I218" s="87" t="s">
        <v>77</v>
      </c>
      <c r="J218" s="62" t="s">
        <v>61</v>
      </c>
      <c r="K218" s="90" t="s">
        <v>78</v>
      </c>
      <c r="L218" s="62" t="s">
        <v>88</v>
      </c>
      <c r="M218" s="87" t="s">
        <v>75</v>
      </c>
      <c r="N218" s="62" t="s">
        <v>84</v>
      </c>
      <c r="O218" s="90" t="s">
        <v>87</v>
      </c>
      <c r="P218" s="62" t="s">
        <v>88</v>
      </c>
    </row>
    <row r="219" spans="1:20" ht="24.75" x14ac:dyDescent="0.25">
      <c r="A219" s="62" t="s">
        <v>51</v>
      </c>
      <c r="B219" s="86">
        <v>3.9101438569080559E-7</v>
      </c>
      <c r="C219" s="86">
        <f>AC204+1*L197</f>
        <v>57.666666666666664</v>
      </c>
      <c r="D219" s="86">
        <f>MAX(B219*1.5*((C219-F204)*500/2),0)</f>
        <v>0</v>
      </c>
      <c r="E219" s="62" t="s">
        <v>55</v>
      </c>
      <c r="F219" s="86">
        <v>1.5510045535126374E-10</v>
      </c>
      <c r="G219" s="86">
        <f>AC205+2*L197</f>
        <v>139.33333333333334</v>
      </c>
      <c r="H219" s="86">
        <f>F219*1.5*((G219-F205)*500/2+(G219-F206)*500 + (G219-F207)*500)</f>
        <v>1.1206007899128807E-5</v>
      </c>
      <c r="I219" s="62" t="s">
        <v>59</v>
      </c>
      <c r="J219" s="86">
        <v>1.554023887193069E-13</v>
      </c>
      <c r="K219" s="86">
        <f>AC206+3*L197</f>
        <v>214.33333333333334</v>
      </c>
      <c r="L219" s="86">
        <f>J219*1.5*((K219-G219)*500/2+(K219-G219)*500)</f>
        <v>1.3112076548191519E-8</v>
      </c>
      <c r="M219" s="62" t="s">
        <v>83</v>
      </c>
      <c r="N219" s="86">
        <v>1.245092628014059E-15</v>
      </c>
      <c r="O219" s="86">
        <f>AC207+4*L197</f>
        <v>311.33333333333337</v>
      </c>
      <c r="P219" s="86">
        <f>N219*1.5*((O219-K219)*500/2)</f>
        <v>4.5290244344011406E-11</v>
      </c>
    </row>
    <row r="220" spans="1:20" ht="24.75" x14ac:dyDescent="0.25">
      <c r="A220" s="62" t="s">
        <v>52</v>
      </c>
      <c r="B220" s="86">
        <v>0.99999960898561435</v>
      </c>
      <c r="C220" s="88">
        <f>AC204</f>
        <v>45.666666666666664</v>
      </c>
      <c r="D220" s="86">
        <f>MAX(B220*1.5*((C220-F204)*500/2),0)</f>
        <v>0</v>
      </c>
      <c r="E220" s="62" t="s">
        <v>56</v>
      </c>
      <c r="F220" s="86">
        <v>3.9705246658323402E-4</v>
      </c>
      <c r="G220" s="86">
        <f>AC205+1*L197</f>
        <v>127.33333333333334</v>
      </c>
      <c r="H220" s="86">
        <f>F220*1.5*((G220-F206)*500+(G220-F207)*500)</f>
        <v>21.639359428786261</v>
      </c>
      <c r="I220" s="62" t="s">
        <v>60</v>
      </c>
      <c r="J220" s="86">
        <v>3.9798035191063874E-7</v>
      </c>
      <c r="K220" s="86">
        <f>AC206+2*L197</f>
        <v>202.33333333333334</v>
      </c>
      <c r="L220" s="86">
        <f>J220*1.5*((K220-G220)*500/2+(K220-G220)*500)</f>
        <v>3.3579592192460143E-2</v>
      </c>
      <c r="M220" s="62" t="s">
        <v>59</v>
      </c>
      <c r="N220" s="86">
        <v>3.1844158794453302E-9</v>
      </c>
      <c r="O220" s="86">
        <f>AC207+3*L197</f>
        <v>299.33333333333337</v>
      </c>
      <c r="P220" s="86">
        <f>N220*1.5*((O220-K220)*500/2)</f>
        <v>1.1583312761482393E-4</v>
      </c>
    </row>
    <row r="221" spans="1:20" x14ac:dyDescent="0.25">
      <c r="A221" s="86"/>
      <c r="B221" s="86"/>
      <c r="C221" s="89" t="s">
        <v>89</v>
      </c>
      <c r="D221" s="89">
        <f>SUM(D219:D220)</f>
        <v>0</v>
      </c>
      <c r="E221" s="62" t="s">
        <v>52</v>
      </c>
      <c r="F221" s="86">
        <v>0.99960294737831634</v>
      </c>
      <c r="G221" s="86">
        <f>AC205+0*L197</f>
        <v>115.33333333333334</v>
      </c>
      <c r="H221" s="86">
        <f>F221*1.5*((G221-F206)*500+(G221-F207)*500)</f>
        <v>36485.507579308556</v>
      </c>
      <c r="I221" s="62" t="s">
        <v>56</v>
      </c>
      <c r="J221" s="86">
        <v>7.873456002676803E-7</v>
      </c>
      <c r="K221" s="86">
        <f>AC206+1*L197</f>
        <v>190.33333333333334</v>
      </c>
      <c r="L221" s="86">
        <f>J221*1.5*((K221-G221)*500/2+(K221-G221)*500)</f>
        <v>6.6432285022585524E-2</v>
      </c>
      <c r="M221" s="62" t="s">
        <v>60</v>
      </c>
      <c r="N221" s="86">
        <v>1.159727642559992E-5</v>
      </c>
      <c r="O221" s="86">
        <f>AC207+2*L197</f>
        <v>287.33333333333337</v>
      </c>
      <c r="P221" s="86">
        <f>N221*1.5*((O221-K221)*500/2)</f>
        <v>0.42185092998119728</v>
      </c>
    </row>
    <row r="222" spans="1:20" x14ac:dyDescent="0.25">
      <c r="A222" s="86"/>
      <c r="B222" s="86"/>
      <c r="C222" s="86"/>
      <c r="D222" s="86"/>
      <c r="E222" s="86"/>
      <c r="F222" s="86"/>
      <c r="G222" s="89" t="s">
        <v>79</v>
      </c>
      <c r="H222" s="89">
        <f>SUM(H219:H221)</f>
        <v>36507.146949943352</v>
      </c>
      <c r="I222" s="62" t="s">
        <v>52</v>
      </c>
      <c r="J222" s="86">
        <v>0.99860139850831697</v>
      </c>
      <c r="K222" s="86">
        <f>AC206+0*L197</f>
        <v>178.33333333333334</v>
      </c>
      <c r="L222" s="86">
        <f>J222*1.5*((K222-G221)*500/2+(K222-G221)*500)</f>
        <v>70775.874119276967</v>
      </c>
      <c r="M222" s="62" t="s">
        <v>56</v>
      </c>
      <c r="N222" s="86">
        <v>9.3878512698446926E-3</v>
      </c>
      <c r="O222" s="86">
        <f>AC207+1*L197</f>
        <v>275.33333333333337</v>
      </c>
      <c r="P222" s="86">
        <f>N222*1.5*((O222-K222)*500/2)</f>
        <v>341.48308994060079</v>
      </c>
    </row>
    <row r="223" spans="1:20" x14ac:dyDescent="0.25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9" t="s">
        <v>79</v>
      </c>
      <c r="L223" s="89">
        <f>SUM(L219:L222)</f>
        <v>70775.974131167299</v>
      </c>
      <c r="M223" s="62" t="s">
        <v>52</v>
      </c>
      <c r="N223" s="86">
        <v>0.99060054826493349</v>
      </c>
      <c r="O223" s="86">
        <f>AC207+0*L197</f>
        <v>263.33333333333337</v>
      </c>
      <c r="P223" s="86">
        <f>N223*1.5*((O223-K222)*500/2)</f>
        <v>31575.392475944765</v>
      </c>
      <c r="Q223" s="179" t="s">
        <v>80</v>
      </c>
      <c r="R223" s="179"/>
      <c r="S223" s="180">
        <f>D221+H222+L223+P224</f>
        <v>139200.41861375916</v>
      </c>
      <c r="T223" s="180"/>
    </row>
    <row r="224" spans="1:20" x14ac:dyDescent="0.25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9" t="s">
        <v>79</v>
      </c>
      <c r="P224" s="89">
        <f>SUM(P219:P223)</f>
        <v>31917.297532648521</v>
      </c>
      <c r="Q224" s="179"/>
      <c r="R224" s="179"/>
      <c r="S224" s="180"/>
      <c r="T224" s="180"/>
    </row>
    <row r="225" spans="1:34" x14ac:dyDescent="0.25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</row>
    <row r="226" spans="1:34" x14ac:dyDescent="0.25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</row>
    <row r="227" spans="1:34" x14ac:dyDescent="0.25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</row>
    <row r="228" spans="1:34" ht="24.75" thickBot="1" x14ac:dyDescent="0.3">
      <c r="O228" s="131" t="s">
        <v>81</v>
      </c>
      <c r="P228" s="131"/>
      <c r="Q228" s="131">
        <f>(R214+P214+M215+S223)/AC207</f>
        <v>919.88363459421714</v>
      </c>
      <c r="R228" s="131"/>
    </row>
    <row r="229" spans="1:34" x14ac:dyDescent="0.25">
      <c r="A229" s="181" t="s">
        <v>110</v>
      </c>
      <c r="B229" s="182"/>
    </row>
    <row r="230" spans="1:34" ht="15.75" thickBot="1" x14ac:dyDescent="0.3">
      <c r="A230" s="183"/>
      <c r="B230" s="184"/>
    </row>
    <row r="231" spans="1:34" ht="21" x14ac:dyDescent="0.35">
      <c r="A231" s="185" t="s">
        <v>14</v>
      </c>
      <c r="B231" s="185"/>
      <c r="C231" s="165"/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O231" s="166" t="s">
        <v>72</v>
      </c>
      <c r="P231" s="166"/>
      <c r="Q231" s="166"/>
      <c r="R231" s="166"/>
      <c r="S231" s="166"/>
      <c r="T231" s="166"/>
      <c r="U231" s="166"/>
      <c r="V231" s="166"/>
    </row>
    <row r="232" spans="1:34" ht="36" x14ac:dyDescent="0.25">
      <c r="A232" s="4" t="s">
        <v>15</v>
      </c>
      <c r="B232" s="4" t="s">
        <v>16</v>
      </c>
      <c r="C232" s="4" t="s">
        <v>31</v>
      </c>
      <c r="D232" s="6" t="s">
        <v>17</v>
      </c>
      <c r="E232" s="6" t="s">
        <v>18</v>
      </c>
      <c r="F232" s="6" t="s">
        <v>19</v>
      </c>
      <c r="G232" s="6" t="s">
        <v>20</v>
      </c>
      <c r="H232" s="6" t="s">
        <v>21</v>
      </c>
      <c r="I232" s="6" t="s">
        <v>22</v>
      </c>
      <c r="J232" s="6" t="s">
        <v>23</v>
      </c>
      <c r="K232" s="6" t="s">
        <v>24</v>
      </c>
      <c r="L232" s="6" t="s">
        <v>25</v>
      </c>
      <c r="M232" s="6" t="s">
        <v>26</v>
      </c>
      <c r="N232" s="8"/>
      <c r="O232" s="167" t="s">
        <v>32</v>
      </c>
      <c r="P232" s="167" t="s">
        <v>35</v>
      </c>
      <c r="Q232" s="167" t="s">
        <v>66</v>
      </c>
      <c r="R232" s="99" t="s">
        <v>67</v>
      </c>
      <c r="S232" s="99" t="s">
        <v>68</v>
      </c>
      <c r="T232" s="167" t="s">
        <v>69</v>
      </c>
      <c r="U232" s="71" t="s">
        <v>33</v>
      </c>
      <c r="V232" s="99" t="s">
        <v>70</v>
      </c>
    </row>
    <row r="233" spans="1:34" x14ac:dyDescent="0.25">
      <c r="A233" s="3" t="s">
        <v>27</v>
      </c>
      <c r="B233" s="3">
        <v>0</v>
      </c>
      <c r="C233" s="3">
        <v>0.3</v>
      </c>
      <c r="D233" s="3">
        <v>243</v>
      </c>
      <c r="E233" s="3">
        <v>1.73</v>
      </c>
      <c r="F233" s="3">
        <v>5</v>
      </c>
      <c r="G233" s="169">
        <v>12</v>
      </c>
      <c r="H233" s="3">
        <v>1820</v>
      </c>
      <c r="I233" s="169">
        <v>19645</v>
      </c>
      <c r="J233" s="3">
        <v>20</v>
      </c>
      <c r="K233" s="3">
        <v>40</v>
      </c>
      <c r="L233" s="3">
        <v>500</v>
      </c>
      <c r="M233" s="3">
        <v>1000</v>
      </c>
      <c r="O233" s="168"/>
      <c r="P233" s="168"/>
      <c r="Q233" s="168"/>
      <c r="R233" s="72" t="s">
        <v>71</v>
      </c>
      <c r="S233" s="72" t="s">
        <v>71</v>
      </c>
      <c r="T233" s="168"/>
      <c r="U233" s="73">
        <v>500</v>
      </c>
      <c r="V233" s="3">
        <v>1.5</v>
      </c>
    </row>
    <row r="234" spans="1:34" x14ac:dyDescent="0.25">
      <c r="A234" s="3" t="s">
        <v>28</v>
      </c>
      <c r="B234" s="3">
        <v>0</v>
      </c>
      <c r="C234" s="3">
        <v>0.3</v>
      </c>
      <c r="D234" s="3">
        <v>254</v>
      </c>
      <c r="E234" s="3">
        <v>1.88</v>
      </c>
      <c r="F234" s="3">
        <v>3</v>
      </c>
      <c r="G234" s="170"/>
      <c r="H234" s="3">
        <v>2720</v>
      </c>
      <c r="I234" s="170"/>
      <c r="J234" s="5"/>
      <c r="K234" s="5"/>
      <c r="L234" s="5"/>
      <c r="M234" s="5"/>
      <c r="O234" s="74">
        <v>1</v>
      </c>
      <c r="P234" s="74">
        <v>106</v>
      </c>
      <c r="Q234" s="74">
        <v>110</v>
      </c>
      <c r="R234" s="74">
        <v>6</v>
      </c>
      <c r="S234" s="74">
        <v>5</v>
      </c>
      <c r="T234" s="74">
        <f>R234*$U$5/60+S234</f>
        <v>55</v>
      </c>
      <c r="U234" s="75"/>
    </row>
    <row r="235" spans="1:34" x14ac:dyDescent="0.25">
      <c r="A235" s="3" t="s">
        <v>29</v>
      </c>
      <c r="B235" s="3">
        <v>0</v>
      </c>
      <c r="C235" s="3">
        <v>0.3</v>
      </c>
      <c r="D235" s="3">
        <v>143</v>
      </c>
      <c r="E235" s="3">
        <v>2.4300000000000002</v>
      </c>
      <c r="F235" s="3">
        <v>8</v>
      </c>
      <c r="G235" s="170"/>
      <c r="H235" s="3">
        <v>3700</v>
      </c>
      <c r="I235" s="170"/>
      <c r="J235" s="5"/>
      <c r="K235" s="140" t="s">
        <v>73</v>
      </c>
      <c r="L235" s="141">
        <v>12</v>
      </c>
      <c r="M235" s="140" t="s">
        <v>74</v>
      </c>
      <c r="N235" s="141">
        <v>19645</v>
      </c>
      <c r="O235" s="74">
        <v>2</v>
      </c>
      <c r="P235" s="74">
        <v>76</v>
      </c>
      <c r="Q235" s="74">
        <v>40</v>
      </c>
      <c r="R235" s="74">
        <v>9</v>
      </c>
      <c r="S235" s="74">
        <v>2</v>
      </c>
      <c r="T235" s="74">
        <f t="shared" ref="T235:T237" si="24">R235*$U$5/60+S235</f>
        <v>77</v>
      </c>
      <c r="U235" s="75"/>
    </row>
    <row r="236" spans="1:34" x14ac:dyDescent="0.25">
      <c r="A236" s="3" t="s">
        <v>30</v>
      </c>
      <c r="B236" s="3">
        <v>0</v>
      </c>
      <c r="C236" s="3">
        <v>0.3</v>
      </c>
      <c r="D236" s="3">
        <v>449</v>
      </c>
      <c r="E236" s="3">
        <v>2.5299999999999998</v>
      </c>
      <c r="F236" s="3">
        <v>4</v>
      </c>
      <c r="G236" s="171"/>
      <c r="H236" s="3">
        <v>4320</v>
      </c>
      <c r="I236" s="171"/>
      <c r="J236" s="5"/>
      <c r="K236" s="140"/>
      <c r="L236" s="141"/>
      <c r="M236" s="140"/>
      <c r="N236" s="141"/>
      <c r="O236" s="74">
        <v>3</v>
      </c>
      <c r="P236" s="74">
        <v>95</v>
      </c>
      <c r="Q236" s="74">
        <v>67</v>
      </c>
      <c r="R236" s="74">
        <v>5</v>
      </c>
      <c r="S236" s="74">
        <v>4</v>
      </c>
      <c r="T236" s="74">
        <f t="shared" si="24"/>
        <v>45.666666666666664</v>
      </c>
      <c r="U236" s="75"/>
    </row>
    <row r="237" spans="1:34" ht="15.75" thickBo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O237" s="74">
        <v>4</v>
      </c>
      <c r="P237" s="74">
        <v>140</v>
      </c>
      <c r="Q237" s="94">
        <v>85</v>
      </c>
      <c r="R237" s="94">
        <v>8</v>
      </c>
      <c r="S237" s="94">
        <v>3</v>
      </c>
      <c r="T237" s="74">
        <f t="shared" si="24"/>
        <v>69.666666666666671</v>
      </c>
    </row>
    <row r="238" spans="1:34" ht="15" customHeight="1" x14ac:dyDescent="0.25">
      <c r="A238" s="142" t="s">
        <v>101</v>
      </c>
      <c r="B238" s="144" t="s">
        <v>107</v>
      </c>
      <c r="C238" s="144"/>
      <c r="D238" s="144"/>
      <c r="E238" s="144"/>
      <c r="F238" s="20" t="s">
        <v>27</v>
      </c>
      <c r="G238" s="20" t="s">
        <v>28</v>
      </c>
      <c r="H238" s="20" t="s">
        <v>29</v>
      </c>
      <c r="I238" s="20" t="s">
        <v>30</v>
      </c>
    </row>
    <row r="239" spans="1:34" ht="15.75" customHeight="1" thickBot="1" x14ac:dyDescent="0.3">
      <c r="A239" s="143"/>
      <c r="B239" s="145"/>
      <c r="C239" s="145"/>
      <c r="D239" s="145"/>
      <c r="E239" s="145"/>
      <c r="F239" s="20">
        <v>168</v>
      </c>
      <c r="G239" s="26">
        <v>84</v>
      </c>
      <c r="H239" s="26">
        <v>84</v>
      </c>
      <c r="I239" s="26">
        <v>252</v>
      </c>
    </row>
    <row r="240" spans="1:34" ht="15.75" customHeight="1" thickBot="1" x14ac:dyDescent="0.3">
      <c r="A240" s="143"/>
      <c r="B240" s="145"/>
      <c r="C240" s="145"/>
      <c r="D240" s="145"/>
      <c r="E240" s="145"/>
      <c r="F240" s="7"/>
      <c r="G240" s="146" t="s">
        <v>27</v>
      </c>
      <c r="H240" s="147"/>
      <c r="I240" s="147"/>
      <c r="J240" s="147"/>
      <c r="K240" s="148"/>
      <c r="L240" s="149" t="s">
        <v>28</v>
      </c>
      <c r="M240" s="150"/>
      <c r="N240" s="150"/>
      <c r="O240" s="150"/>
      <c r="P240" s="151"/>
      <c r="Q240" s="152" t="s">
        <v>29</v>
      </c>
      <c r="R240" s="153"/>
      <c r="S240" s="153"/>
      <c r="T240" s="153"/>
      <c r="U240" s="154"/>
      <c r="V240" s="155" t="s">
        <v>30</v>
      </c>
      <c r="W240" s="156"/>
      <c r="X240" s="156"/>
      <c r="Y240" s="156"/>
      <c r="Z240" s="157"/>
      <c r="AA240" s="158" t="s">
        <v>42</v>
      </c>
      <c r="AB240" s="159"/>
      <c r="AC240" s="160" t="s">
        <v>44</v>
      </c>
      <c r="AD240" s="162" t="s">
        <v>47</v>
      </c>
      <c r="AE240" s="163"/>
      <c r="AF240" s="163"/>
      <c r="AG240" s="164"/>
      <c r="AH240" s="138" t="s">
        <v>62</v>
      </c>
    </row>
    <row r="241" spans="1:34" ht="36.75" x14ac:dyDescent="0.25">
      <c r="A241" s="21" t="s">
        <v>32</v>
      </c>
      <c r="B241" s="22" t="s">
        <v>37</v>
      </c>
      <c r="C241" s="23" t="s">
        <v>33</v>
      </c>
      <c r="D241" s="22" t="s">
        <v>38</v>
      </c>
      <c r="E241" s="22" t="s">
        <v>34</v>
      </c>
      <c r="F241" s="25" t="s">
        <v>35</v>
      </c>
      <c r="G241" s="27" t="s">
        <v>39</v>
      </c>
      <c r="H241" s="10" t="s">
        <v>40</v>
      </c>
      <c r="I241" s="10" t="s">
        <v>45</v>
      </c>
      <c r="J241" s="10" t="s">
        <v>46</v>
      </c>
      <c r="K241" s="28" t="s">
        <v>41</v>
      </c>
      <c r="L241" s="30" t="s">
        <v>39</v>
      </c>
      <c r="M241" s="13" t="s">
        <v>40</v>
      </c>
      <c r="N241" s="13" t="s">
        <v>45</v>
      </c>
      <c r="O241" s="13" t="s">
        <v>46</v>
      </c>
      <c r="P241" s="31" t="s">
        <v>41</v>
      </c>
      <c r="Q241" s="33" t="s">
        <v>39</v>
      </c>
      <c r="R241" s="12" t="s">
        <v>40</v>
      </c>
      <c r="S241" s="12" t="s">
        <v>45</v>
      </c>
      <c r="T241" s="12" t="s">
        <v>46</v>
      </c>
      <c r="U241" s="34" t="s">
        <v>41</v>
      </c>
      <c r="V241" s="36" t="s">
        <v>39</v>
      </c>
      <c r="W241" s="11" t="s">
        <v>40</v>
      </c>
      <c r="X241" s="11" t="s">
        <v>45</v>
      </c>
      <c r="Y241" s="11" t="s">
        <v>46</v>
      </c>
      <c r="Z241" s="37" t="s">
        <v>41</v>
      </c>
      <c r="AA241" s="39" t="s">
        <v>41</v>
      </c>
      <c r="AB241" s="40" t="s">
        <v>43</v>
      </c>
      <c r="AC241" s="161"/>
      <c r="AD241" s="43" t="s">
        <v>27</v>
      </c>
      <c r="AE241" s="1" t="s">
        <v>28</v>
      </c>
      <c r="AF241" s="1" t="s">
        <v>29</v>
      </c>
      <c r="AG241" s="1" t="s">
        <v>30</v>
      </c>
      <c r="AH241" s="139"/>
    </row>
    <row r="242" spans="1:34" x14ac:dyDescent="0.25">
      <c r="A242" s="24">
        <v>1</v>
      </c>
      <c r="B242" s="9">
        <v>6</v>
      </c>
      <c r="C242" s="9">
        <v>500</v>
      </c>
      <c r="D242" s="9">
        <v>5</v>
      </c>
      <c r="E242" s="48">
        <f>B242*C242/60+D242</f>
        <v>55</v>
      </c>
      <c r="F242" s="14">
        <v>106</v>
      </c>
      <c r="G242" s="49">
        <f>B$5*(1-AD242*C$5)</f>
        <v>0</v>
      </c>
      <c r="H242" s="50">
        <f>G242+E242</f>
        <v>55</v>
      </c>
      <c r="I242" s="15">
        <f>(H242/D$5)^E$5</f>
        <v>7.6511831764011648E-2</v>
      </c>
      <c r="J242" s="15">
        <f>(G242/D$5)^E$5</f>
        <v>0</v>
      </c>
      <c r="K242" s="29">
        <f>1-EXP(J242-I242)</f>
        <v>7.3658046035411151E-2</v>
      </c>
      <c r="L242" s="51">
        <f>B$6*(1-AE242*C$6)</f>
        <v>0</v>
      </c>
      <c r="M242" s="52">
        <f>L242+E242</f>
        <v>55</v>
      </c>
      <c r="N242" s="17">
        <f>(M242/D$6)^E$6</f>
        <v>5.633709759436846E-2</v>
      </c>
      <c r="O242" s="17">
        <f>(L242/D$6)^E$6</f>
        <v>0</v>
      </c>
      <c r="P242" s="32">
        <f>1-EXP(O242-N242)</f>
        <v>5.4779549360660096E-2</v>
      </c>
      <c r="Q242" s="53">
        <f>B$7*(1-AF242*C$7)</f>
        <v>0</v>
      </c>
      <c r="R242" s="54">
        <f>Q242+E242</f>
        <v>55</v>
      </c>
      <c r="S242" s="16">
        <f>(R242/D$7)^E$7</f>
        <v>9.8087748172662498E-2</v>
      </c>
      <c r="T242" s="16">
        <f>(Q242/D$7)^E$7</f>
        <v>0</v>
      </c>
      <c r="U242" s="35">
        <f>1-EXP(T242-S242)</f>
        <v>9.3430649540250821E-2</v>
      </c>
      <c r="V242" s="55">
        <f>B$8*(1-AG242*C$8)</f>
        <v>0</v>
      </c>
      <c r="W242" s="56">
        <f>V242+E242</f>
        <v>55</v>
      </c>
      <c r="X242" s="18">
        <f>(W242/D$8)^E$8</f>
        <v>4.9309927237744132E-3</v>
      </c>
      <c r="Y242" s="18">
        <f>(V242/D$8)^E$8</f>
        <v>0</v>
      </c>
      <c r="Z242" s="38">
        <f>1-EXP(Y242-X242)</f>
        <v>4.9188553371368737E-3</v>
      </c>
      <c r="AA242" s="41">
        <f>K242*P242*U242*Z242</f>
        <v>1.8543515323034395E-6</v>
      </c>
      <c r="AB242" s="42">
        <f>1-AA242</f>
        <v>0.99999814564846767</v>
      </c>
      <c r="AC242" s="47">
        <f>(AD242*F$5+AE242*F$6+AF242*F$7+AG242*F$8)+E242</f>
        <v>55</v>
      </c>
      <c r="AD242" s="43">
        <v>0</v>
      </c>
      <c r="AE242" s="1">
        <v>0</v>
      </c>
      <c r="AF242" s="1">
        <v>0</v>
      </c>
      <c r="AG242" s="1">
        <v>0</v>
      </c>
      <c r="AH242" s="44">
        <v>110</v>
      </c>
    </row>
    <row r="243" spans="1:34" x14ac:dyDescent="0.25">
      <c r="A243" s="24">
        <v>3</v>
      </c>
      <c r="B243" s="9">
        <v>5</v>
      </c>
      <c r="C243" s="9">
        <v>500</v>
      </c>
      <c r="D243" s="9">
        <v>4</v>
      </c>
      <c r="E243" s="9">
        <f t="shared" ref="E243:E245" si="25">B243*C243/60+D243</f>
        <v>45.666666666666664</v>
      </c>
      <c r="F243" s="14">
        <v>95</v>
      </c>
      <c r="G243" s="49">
        <f>H242*(1-AD243*C$5)</f>
        <v>55</v>
      </c>
      <c r="H243" s="50">
        <f>G243+E243</f>
        <v>100.66666666666666</v>
      </c>
      <c r="I243" s="15">
        <f>(H243/D$5)^E$5</f>
        <v>0.21771752434165836</v>
      </c>
      <c r="J243" s="15">
        <f>(G243/D$5)^E$5</f>
        <v>7.6511831764011648E-2</v>
      </c>
      <c r="K243" s="29">
        <f>1-EXP(J243-I243)</f>
        <v>0.13168931173612675</v>
      </c>
      <c r="L243" s="51">
        <f>M242*(1-AE243*C$6)</f>
        <v>55</v>
      </c>
      <c r="M243" s="52">
        <f>L243+E243</f>
        <v>100.66666666666666</v>
      </c>
      <c r="N243" s="17">
        <f>(M243/D$6)^E$6</f>
        <v>0.17552448466860393</v>
      </c>
      <c r="O243" s="17">
        <f>(L243/D$6)^E$6</f>
        <v>5.633709759436846E-2</v>
      </c>
      <c r="P243" s="32">
        <f>1-EXP(O243-N243)</f>
        <v>0.11235854735808759</v>
      </c>
      <c r="Q243" s="53">
        <f>R242*(1-AF243*C$7)</f>
        <v>55</v>
      </c>
      <c r="R243" s="54">
        <f>Q243+E243</f>
        <v>100.66666666666666</v>
      </c>
      <c r="S243" s="16">
        <f>(R243/D$7)^E$7</f>
        <v>0.42613347475170693</v>
      </c>
      <c r="T243" s="16">
        <f>(Q243/D$7)^E$7</f>
        <v>9.8087748172662498E-2</v>
      </c>
      <c r="U243" s="35">
        <f>1-EXP(T243-S243)</f>
        <v>0.27966991927816065</v>
      </c>
      <c r="V243" s="55">
        <f>W242*(1-AG243*C$8)</f>
        <v>55</v>
      </c>
      <c r="W243" s="56">
        <f>V243+E243</f>
        <v>100.66666666666666</v>
      </c>
      <c r="X243" s="18">
        <f>(W243/D$8)^E$8</f>
        <v>2.275713304339216E-2</v>
      </c>
      <c r="Y243" s="18">
        <f>(V243/D$8)^E$8</f>
        <v>4.9309927237744132E-3</v>
      </c>
      <c r="Z243" s="38">
        <f>1-EXP(Y243-X243)</f>
        <v>1.766819459368596E-2</v>
      </c>
      <c r="AA243" s="41">
        <f>K243*P243*U243*Z243</f>
        <v>7.3112994965834617E-5</v>
      </c>
      <c r="AB243" s="42">
        <f>1-AA243</f>
        <v>0.99992688700503418</v>
      </c>
      <c r="AC243" s="47">
        <f>AF243*F$7+E243+AC242</f>
        <v>100.66666666666666</v>
      </c>
      <c r="AD243" s="43">
        <v>0</v>
      </c>
      <c r="AE243" s="1">
        <v>0</v>
      </c>
      <c r="AF243" s="1">
        <v>0</v>
      </c>
      <c r="AG243" s="1">
        <v>0</v>
      </c>
      <c r="AH243" s="44">
        <v>67</v>
      </c>
    </row>
    <row r="244" spans="1:34" x14ac:dyDescent="0.25">
      <c r="A244" s="57">
        <v>2</v>
      </c>
      <c r="B244" s="58">
        <v>9</v>
      </c>
      <c r="C244" s="58">
        <v>500</v>
      </c>
      <c r="D244" s="58">
        <v>2</v>
      </c>
      <c r="E244" s="66">
        <f t="shared" si="25"/>
        <v>77</v>
      </c>
      <c r="F244" s="67">
        <v>76</v>
      </c>
      <c r="G244" s="68">
        <f>H243*(1-AD244*C$5)</f>
        <v>100.66666666666666</v>
      </c>
      <c r="H244" s="69">
        <f>G244+E244</f>
        <v>177.66666666666666</v>
      </c>
      <c r="I244" s="70">
        <f>(H244/D$5)^E$5</f>
        <v>0.58172730301954589</v>
      </c>
      <c r="J244" s="70">
        <f>(G244/D$5)^E$5</f>
        <v>0.21771752434165836</v>
      </c>
      <c r="K244" s="29">
        <f>1-EXP(J244-I244)</f>
        <v>0.30511560034102614</v>
      </c>
      <c r="L244" s="51">
        <f>M243*(1-AE244*C$6)</f>
        <v>70.466666666666654</v>
      </c>
      <c r="M244" s="52">
        <f>L244+E244</f>
        <v>147.46666666666664</v>
      </c>
      <c r="N244" s="17">
        <f>(M244/D$6)^E$6</f>
        <v>0.35979661759585591</v>
      </c>
      <c r="O244" s="17">
        <f>(L244/D$6)^E$6</f>
        <v>8.9768097666615101E-2</v>
      </c>
      <c r="P244" s="32">
        <f>1-EXP(O244-N244)</f>
        <v>0.23664227688185091</v>
      </c>
      <c r="Q244" s="53">
        <f>R243*(1-AF244*C$7)</f>
        <v>70.466666666666654</v>
      </c>
      <c r="R244" s="54">
        <f>Q244+E244</f>
        <v>147.46666666666664</v>
      </c>
      <c r="S244" s="16">
        <f>(R244/D$7)^E$7</f>
        <v>1.0776048006073178</v>
      </c>
      <c r="T244" s="16">
        <f>(Q244/D$7)^E$7</f>
        <v>0.17911579648738157</v>
      </c>
      <c r="U244" s="35">
        <f>1-EXP(T244-S244)</f>
        <v>0.59281555082339077</v>
      </c>
      <c r="V244" s="55">
        <f>W243*(1-AG244*C$8)</f>
        <v>100.66666666666666</v>
      </c>
      <c r="W244" s="56">
        <f>V244+E244</f>
        <v>177.66666666666666</v>
      </c>
      <c r="X244" s="18">
        <f>(W244/D$8)^E$8</f>
        <v>9.5789922449281015E-2</v>
      </c>
      <c r="Y244" s="18">
        <f>(V244/D$8)^E$8</f>
        <v>2.275713304339216E-2</v>
      </c>
      <c r="Z244" s="38">
        <f>1-EXP(Y244-X244)</f>
        <v>7.0429650533415211E-2</v>
      </c>
      <c r="AA244" s="41">
        <f>K244*P244*U244*Z244</f>
        <v>3.0146150968935448E-3</v>
      </c>
      <c r="AB244" s="42">
        <f>1-AA244</f>
        <v>0.99698538490310651</v>
      </c>
      <c r="AC244" s="47">
        <f>(AF244*F$7)+E244+AC243</f>
        <v>185.66666666666666</v>
      </c>
      <c r="AD244" s="77">
        <v>0</v>
      </c>
      <c r="AE244" s="78">
        <v>1</v>
      </c>
      <c r="AF244" s="78">
        <v>1</v>
      </c>
      <c r="AG244" s="78">
        <v>0</v>
      </c>
      <c r="AH244" s="79">
        <v>40</v>
      </c>
    </row>
    <row r="245" spans="1:34" ht="15.75" thickBot="1" x14ac:dyDescent="0.3">
      <c r="A245" s="76">
        <v>4</v>
      </c>
      <c r="B245" s="58">
        <v>8</v>
      </c>
      <c r="C245" s="58">
        <v>500</v>
      </c>
      <c r="D245" s="58">
        <v>3</v>
      </c>
      <c r="E245" s="66">
        <f t="shared" si="25"/>
        <v>69.666666666666671</v>
      </c>
      <c r="F245" s="67">
        <v>140</v>
      </c>
      <c r="G245" s="68">
        <f>H244*(1-AD245*C$5)</f>
        <v>124.36666666666665</v>
      </c>
      <c r="H245" s="69">
        <f>G245+E245</f>
        <v>194.0333333333333</v>
      </c>
      <c r="I245" s="70">
        <f>(H245/D$5)^E$5</f>
        <v>0.67752796083510003</v>
      </c>
      <c r="J245" s="70">
        <f>(G245/D$5)^E$5</f>
        <v>0.31386223054487455</v>
      </c>
      <c r="K245" s="29">
        <f>1-EXP(J245-I245)</f>
        <v>0.30487648535250744</v>
      </c>
      <c r="L245" s="51">
        <f>M244*(1-AE245*C$6)</f>
        <v>103.22666666666665</v>
      </c>
      <c r="M245" s="52">
        <f>L245+E245</f>
        <v>172.89333333333332</v>
      </c>
      <c r="N245" s="17">
        <f>(M245/D$6)^E$6</f>
        <v>0.48521667557272297</v>
      </c>
      <c r="O245" s="17">
        <f>(L245/D$6)^E$6</f>
        <v>0.18400998566919444</v>
      </c>
      <c r="P245" s="32">
        <f>1-EXP(O245-N245)</f>
        <v>0.26007517804950775</v>
      </c>
      <c r="Q245" s="53">
        <f>R244*(1-AF245*C$7)</f>
        <v>103.22666666666665</v>
      </c>
      <c r="R245" s="54">
        <f>Q245+E245</f>
        <v>172.89333333333332</v>
      </c>
      <c r="S245" s="16">
        <f>(R245/D$7)^E$7</f>
        <v>1.5861146273855486</v>
      </c>
      <c r="T245" s="16">
        <f>(Q245/D$7)^E$7</f>
        <v>0.45294738291064662</v>
      </c>
      <c r="U245" s="35">
        <f>1-EXP(T245-S245)</f>
        <v>0.67798825033960464</v>
      </c>
      <c r="V245" s="55">
        <f>W244*(1-AG245*C$8)</f>
        <v>177.66666666666666</v>
      </c>
      <c r="W245" s="56">
        <f>V245+E245</f>
        <v>247.33333333333331</v>
      </c>
      <c r="X245" s="18">
        <f>(W245/D$8)^E$8</f>
        <v>0.221218713919872</v>
      </c>
      <c r="Y245" s="18">
        <f>(V245/D$8)^E$8</f>
        <v>9.5789922449281015E-2</v>
      </c>
      <c r="Z245" s="38">
        <f>1-EXP(Y245-X245)</f>
        <v>0.11788142344277242</v>
      </c>
      <c r="AA245" s="41">
        <f>K245*P245*U245*Z245</f>
        <v>6.337097260166894E-3</v>
      </c>
      <c r="AB245" s="42">
        <f>1-AA245</f>
        <v>0.99366290273983315</v>
      </c>
      <c r="AC245" s="47">
        <f>(AF245*F$7)+E245+AC244</f>
        <v>263.33333333333331</v>
      </c>
      <c r="AD245" s="80">
        <v>1</v>
      </c>
      <c r="AE245" s="45">
        <v>1</v>
      </c>
      <c r="AF245" s="81">
        <v>1</v>
      </c>
      <c r="AG245" s="45">
        <v>0</v>
      </c>
      <c r="AH245" s="82">
        <v>85</v>
      </c>
    </row>
    <row r="246" spans="1:34" ht="18.75" x14ac:dyDescent="0.3">
      <c r="A246" s="132" t="s">
        <v>53</v>
      </c>
      <c r="B246" s="132"/>
      <c r="C246" s="132"/>
      <c r="D246" s="132"/>
      <c r="E246" s="132"/>
      <c r="F246" s="132"/>
      <c r="G246" s="132"/>
      <c r="H246" s="132"/>
      <c r="I246" s="132"/>
      <c r="J246" s="132"/>
      <c r="AG246" s="46"/>
    </row>
    <row r="247" spans="1:34" ht="15.75" x14ac:dyDescent="0.25">
      <c r="A247" s="19" t="s">
        <v>58</v>
      </c>
      <c r="B247" s="60" t="s">
        <v>49</v>
      </c>
      <c r="C247" s="61" t="s">
        <v>50</v>
      </c>
      <c r="D247" s="19" t="s">
        <v>54</v>
      </c>
      <c r="E247" s="60" t="s">
        <v>57</v>
      </c>
      <c r="F247" s="61" t="s">
        <v>50</v>
      </c>
      <c r="G247" s="19" t="s">
        <v>48</v>
      </c>
      <c r="H247" s="60" t="s">
        <v>61</v>
      </c>
      <c r="I247" s="61" t="s">
        <v>50</v>
      </c>
      <c r="J247" s="19" t="s">
        <v>82</v>
      </c>
      <c r="K247" s="83" t="s">
        <v>84</v>
      </c>
      <c r="L247" s="61" t="s">
        <v>50</v>
      </c>
      <c r="M247" s="61" t="s">
        <v>85</v>
      </c>
      <c r="O247" s="174" t="s">
        <v>64</v>
      </c>
      <c r="P247" s="174"/>
      <c r="Q247" s="175" t="s">
        <v>109</v>
      </c>
      <c r="R247" s="175"/>
    </row>
    <row r="248" spans="1:34" ht="24.75" x14ac:dyDescent="0.25">
      <c r="A248" s="61" t="s">
        <v>51</v>
      </c>
      <c r="B248" s="1">
        <f>AA242</f>
        <v>1.8543515323034395E-6</v>
      </c>
      <c r="C248" s="59">
        <f>MAX(AC242+1*L235-F242,0)</f>
        <v>0</v>
      </c>
      <c r="D248" s="62" t="s">
        <v>55</v>
      </c>
      <c r="E248" s="1">
        <f>AA242*AA243</f>
        <v>1.3557719424618909E-10</v>
      </c>
      <c r="F248" s="1">
        <f>MAX(AC243+2*L235-F243,0)</f>
        <v>29.666666666666657</v>
      </c>
      <c r="G248" s="62" t="s">
        <v>59</v>
      </c>
      <c r="H248" s="1">
        <f>AA242*AA243*AA244</f>
        <v>4.0871305656903027E-13</v>
      </c>
      <c r="I248" s="1">
        <f>AC244+3*L235-F244</f>
        <v>145.66666666666666</v>
      </c>
      <c r="J248" s="62" t="s">
        <v>83</v>
      </c>
      <c r="K248" s="1">
        <f>AA242*AA243*AA244*AA245</f>
        <v>2.5900543909780384E-15</v>
      </c>
      <c r="L248" s="1">
        <f>AC245+4*L235-F245</f>
        <v>171.33333333333331</v>
      </c>
      <c r="M248" s="1">
        <f>B248*C248*AH242+E248*F248*AH243+H248*I248*AH244+K248*L248*AH245</f>
        <v>2.7190142433173127E-7</v>
      </c>
      <c r="O248" s="1" t="s">
        <v>27</v>
      </c>
      <c r="P248" s="1">
        <f>H233</f>
        <v>1820</v>
      </c>
      <c r="Q248" s="1">
        <f>(K242*(1-P242)*(1-U242)*(1-Z242))+(P242*(1-K242)*(1-U242)*(1-Z242))+(U242*(1-K242)*(1-P242)*(1-Z242))+(Z242*(1-K242)*(1-P242)*(1-U242))</f>
        <v>0.19389466846386108</v>
      </c>
      <c r="R248" s="1">
        <f>Q248*(L$7*(J$5*K$5+L$5)+I$5)</f>
        <v>6833.8175900087836</v>
      </c>
    </row>
    <row r="249" spans="1:34" ht="24.75" x14ac:dyDescent="0.25">
      <c r="A249" s="62" t="s">
        <v>52</v>
      </c>
      <c r="B249" s="1">
        <f>AB242</f>
        <v>0.99999814564846767</v>
      </c>
      <c r="C249" s="59">
        <f>MAX(AC242-F242,0)</f>
        <v>0</v>
      </c>
      <c r="D249" s="62" t="s">
        <v>56</v>
      </c>
      <c r="E249" s="1">
        <f>AA242*AB243+AA243*AB242</f>
        <v>7.4967075343749566E-5</v>
      </c>
      <c r="F249" s="1">
        <f>MAX(AC243+1*L235-F243,0)</f>
        <v>17.666666666666657</v>
      </c>
      <c r="G249" s="62" t="s">
        <v>60</v>
      </c>
      <c r="H249" s="1">
        <f>AA242*AA243*AB244+AA243*AA244*AB242+AA242*AA244*AB243</f>
        <v>2.2613204558241287E-7</v>
      </c>
      <c r="I249" s="1">
        <f>AC244+2*L235-F244</f>
        <v>133.66666666666666</v>
      </c>
      <c r="J249" s="62" t="s">
        <v>59</v>
      </c>
      <c r="K249">
        <f>AB242*AA243*AA244*AA245+AB243*AA242*AA244*AA245*+AB244*AA242*AA243*AA245+AB245*AA242*AA243*AA244</f>
        <v>1.397147540682275E-9</v>
      </c>
      <c r="L249" s="1">
        <f>AC245+3*L235-F245</f>
        <v>159.33333333333331</v>
      </c>
      <c r="M249" s="1">
        <f>B249*C249*AH242+E249*F249*AH243+H249*I249*AH244+K249*L249*AH245</f>
        <v>8.9964002887124778E-2</v>
      </c>
      <c r="O249" s="1" t="s">
        <v>28</v>
      </c>
      <c r="P249" s="1">
        <f>2*H234</f>
        <v>5440</v>
      </c>
      <c r="Q249" s="1">
        <f t="shared" ref="Q249:Q251" si="26">(K243*(1-P243)*(1-U243)*(1-Z243))+(P243*(1-K243)*(1-U243)*(1-Z243))+(U243*(1-K243)*(1-P243)*(1-Z243))+(Z243*(1-K243)*(1-P243)*(1-U243))</f>
        <v>0.37330502838363955</v>
      </c>
      <c r="R249" s="1">
        <f t="shared" ref="R249:R251" si="27">Q249*(L$7*(J$5*K$5+L$5)+I$5)</f>
        <v>13157.135725381377</v>
      </c>
    </row>
    <row r="250" spans="1:34" ht="24.75" x14ac:dyDescent="0.25">
      <c r="A250" s="1"/>
      <c r="B250" s="1"/>
      <c r="C250" s="1"/>
      <c r="D250" s="62" t="s">
        <v>52</v>
      </c>
      <c r="E250" s="1">
        <f>AB242*AB243</f>
        <v>0.99992503278907907</v>
      </c>
      <c r="F250" s="59">
        <f>MAX(AC243-F243,0)</f>
        <v>5.6666666666666572</v>
      </c>
      <c r="G250" s="62" t="s">
        <v>56</v>
      </c>
      <c r="H250" s="1">
        <f>AA242*AB243*AB244+AA243*AB242*AB244*+AA244*AB242*AB243</f>
        <v>2.068352421231077E-6</v>
      </c>
      <c r="I250" s="1">
        <f>AC244+1*L235-F244</f>
        <v>121.66666666666666</v>
      </c>
      <c r="J250" s="62" t="s">
        <v>60</v>
      </c>
      <c r="K250" s="1">
        <f>AA242*AA243*AB244*AB245 + AA242*AA244*AB243*AB245 + AA242*AA245*AB243*AB244 + AA243*AA244*AB242*AB245 + AA243*AA245*AB242*AB244 + AA244*AA245*AB242*AB243</f>
        <v>1.9800817412589933E-5</v>
      </c>
      <c r="L250" s="1">
        <f>AC245+2*L235-F245</f>
        <v>147.33333333333331</v>
      </c>
      <c r="M250" s="1">
        <f>B250*C250*AH242+E250*F250*AH243+H250*I250*AH244+K250*L250*AH245</f>
        <v>379.89624233410007</v>
      </c>
      <c r="O250" s="1" t="s">
        <v>29</v>
      </c>
      <c r="P250" s="1">
        <f>2*(F235*(J233*K233+L233)+H235)</f>
        <v>28200</v>
      </c>
      <c r="Q250" s="1">
        <f t="shared" si="26"/>
        <v>0.45792137329650145</v>
      </c>
      <c r="R250" s="1">
        <f t="shared" si="27"/>
        <v>16139.438801835195</v>
      </c>
    </row>
    <row r="251" spans="1:34" ht="24.75" x14ac:dyDescent="0.25">
      <c r="A251" s="1"/>
      <c r="B251" s="1"/>
      <c r="C251" s="1"/>
      <c r="D251" s="1"/>
      <c r="E251" s="1"/>
      <c r="F251" s="1"/>
      <c r="G251" s="62" t="s">
        <v>52</v>
      </c>
      <c r="H251" s="1">
        <f>AB242*AB243*AB244</f>
        <v>0.99691064368947135</v>
      </c>
      <c r="I251" s="63">
        <f>AC244-F244</f>
        <v>109.66666666666666</v>
      </c>
      <c r="J251" s="62" t="s">
        <v>56</v>
      </c>
      <c r="K251" s="1">
        <f>AA242*AB243*AB244*AB245+AA243*AB242*AB244*AB245+AA244*AB242*AB243*AB245+AA245*AB242*AB243*AB244</f>
        <v>9.387073768442368E-3</v>
      </c>
      <c r="L251" s="1">
        <f>AC245+1*L235-F245</f>
        <v>135.33333333333331</v>
      </c>
      <c r="M251" s="1">
        <f>B251*C251*AH242+E251*F251*AH243+H251*I251*AH244+K251*L251*AH245</f>
        <v>4481.0973289007961</v>
      </c>
      <c r="O251" s="1" t="s">
        <v>30</v>
      </c>
      <c r="P251" s="1">
        <v>0</v>
      </c>
      <c r="Q251" s="1">
        <f t="shared" si="26"/>
        <v>0.44256312121886349</v>
      </c>
      <c r="R251" s="1">
        <f t="shared" si="27"/>
        <v>15598.137207358843</v>
      </c>
    </row>
    <row r="252" spans="1:34" ht="30" x14ac:dyDescent="0.25">
      <c r="I252" s="84"/>
      <c r="J252" s="62" t="s">
        <v>52</v>
      </c>
      <c r="K252" s="85">
        <f>AB242*AB243*AB244*AB245</f>
        <v>0.99059312398071564</v>
      </c>
      <c r="L252" s="1">
        <f>AC245+0*L235-F245</f>
        <v>123.33333333333331</v>
      </c>
      <c r="M252" s="1">
        <f>B252*C252*AH242+E252*F252*AH243+H252*I252*AH244+K252*L252*AH245</f>
        <v>10384.717916397833</v>
      </c>
      <c r="O252" s="64" t="s">
        <v>65</v>
      </c>
      <c r="P252" s="65">
        <f>SUM(P248:P251)</f>
        <v>35460</v>
      </c>
      <c r="Q252" s="96" t="s">
        <v>108</v>
      </c>
      <c r="R252" s="97">
        <f>SUM(R248:R251)</f>
        <v>51728.529324584197</v>
      </c>
    </row>
    <row r="253" spans="1:34" x14ac:dyDescent="0.25">
      <c r="L253" s="176" t="s">
        <v>63</v>
      </c>
      <c r="M253" s="177">
        <f>SUM(M248:M252)</f>
        <v>15245.801451907519</v>
      </c>
    </row>
    <row r="254" spans="1:34" x14ac:dyDescent="0.25">
      <c r="L254" s="176"/>
      <c r="M254" s="177"/>
    </row>
    <row r="255" spans="1:34" x14ac:dyDescent="0.25">
      <c r="A255" s="178" t="s">
        <v>90</v>
      </c>
      <c r="B255" s="178"/>
      <c r="C255" s="178"/>
      <c r="D255" s="178"/>
      <c r="E255" s="178"/>
      <c r="F255" s="178"/>
      <c r="G255" s="178"/>
      <c r="H255" s="178"/>
      <c r="I255" s="178"/>
      <c r="J255" s="178"/>
      <c r="K255" s="178"/>
      <c r="L255" s="178"/>
      <c r="M255" s="178"/>
      <c r="N255" s="178"/>
    </row>
    <row r="256" spans="1:34" ht="15.75" x14ac:dyDescent="0.25">
      <c r="A256" s="87" t="s">
        <v>77</v>
      </c>
      <c r="B256" s="62" t="s">
        <v>49</v>
      </c>
      <c r="C256" s="90" t="s">
        <v>78</v>
      </c>
      <c r="D256" s="62" t="s">
        <v>88</v>
      </c>
      <c r="E256" s="87" t="s">
        <v>76</v>
      </c>
      <c r="F256" s="62" t="s">
        <v>57</v>
      </c>
      <c r="G256" s="90" t="s">
        <v>102</v>
      </c>
      <c r="H256" s="62" t="s">
        <v>88</v>
      </c>
      <c r="I256" s="87" t="s">
        <v>75</v>
      </c>
      <c r="J256" s="62" t="s">
        <v>61</v>
      </c>
      <c r="K256" s="90" t="s">
        <v>87</v>
      </c>
      <c r="L256" s="62" t="s">
        <v>88</v>
      </c>
      <c r="M256" s="87" t="s">
        <v>86</v>
      </c>
      <c r="N256" s="62" t="s">
        <v>84</v>
      </c>
      <c r="O256" s="90" t="s">
        <v>103</v>
      </c>
      <c r="P256" s="62" t="s">
        <v>88</v>
      </c>
    </row>
    <row r="257" spans="1:22" ht="24.75" x14ac:dyDescent="0.25">
      <c r="A257" s="62" t="s">
        <v>51</v>
      </c>
      <c r="B257" s="86">
        <v>1.8543515323034395E-6</v>
      </c>
      <c r="C257" s="86">
        <f>AC242+1*L235</f>
        <v>67</v>
      </c>
      <c r="D257" s="86">
        <f>MAX(B257*1.5*((C257-F242)*500/2),0)</f>
        <v>0</v>
      </c>
      <c r="E257" s="62" t="s">
        <v>55</v>
      </c>
      <c r="F257" s="86">
        <v>1.3557719424618909E-10</v>
      </c>
      <c r="G257" s="86">
        <f>AC243+2*L235</f>
        <v>124.66666666666666</v>
      </c>
      <c r="H257" s="86">
        <f>F257*1.5*((G257-F243)*500/2+(G257-F244)*500)</f>
        <v>6.456863875974754E-6</v>
      </c>
      <c r="I257" s="62" t="s">
        <v>59</v>
      </c>
      <c r="J257" s="86">
        <v>4.0871305656903027E-13</v>
      </c>
      <c r="K257" s="86">
        <f>AC244+3*L235</f>
        <v>221.66666666666666</v>
      </c>
      <c r="L257" s="86">
        <f>J257*1.5*((K257-G257)*500/2+(K257-F245)*500)</f>
        <v>3.9900612147551574E-8</v>
      </c>
      <c r="M257" s="62" t="s">
        <v>83</v>
      </c>
      <c r="N257" s="86">
        <v>2.5900543909780384E-15</v>
      </c>
      <c r="O257" s="86">
        <f>AC245+4*L235</f>
        <v>311.33333333333331</v>
      </c>
      <c r="P257" s="86">
        <f>N257*1.5*((O257-K257)*500/2)</f>
        <v>8.709057889663653E-11</v>
      </c>
    </row>
    <row r="258" spans="1:22" ht="24.75" x14ac:dyDescent="0.25">
      <c r="A258" s="62" t="s">
        <v>52</v>
      </c>
      <c r="B258" s="86">
        <v>0.99999814564846767</v>
      </c>
      <c r="C258" s="88">
        <f>AC242</f>
        <v>55</v>
      </c>
      <c r="D258" s="86">
        <f>MAX(B258*1.5*((C258-F242)*500/2),0)</f>
        <v>0</v>
      </c>
      <c r="E258" s="62" t="s">
        <v>56</v>
      </c>
      <c r="F258" s="86">
        <v>7.4967075343749566E-5</v>
      </c>
      <c r="G258" s="86">
        <f>AC243+1*L235</f>
        <v>112.66666666666666</v>
      </c>
      <c r="H258" s="86">
        <f>F258*1.5*((G258-F243)*500/2+(G258-F244)*500)</f>
        <v>2.5582514461054529</v>
      </c>
      <c r="I258" s="62" t="s">
        <v>60</v>
      </c>
      <c r="J258" s="86">
        <v>2.2613204558241287E-7</v>
      </c>
      <c r="K258" s="86">
        <f>AC244+2*L235</f>
        <v>209.66666666666666</v>
      </c>
      <c r="L258" s="86">
        <f>J258*1.5*((K258-G258)*500/2+(K258-F245)*500)</f>
        <v>2.0040952539741339E-2</v>
      </c>
      <c r="M258" s="62" t="s">
        <v>59</v>
      </c>
      <c r="N258" s="86">
        <v>1.397147540682275E-9</v>
      </c>
      <c r="O258" s="86">
        <f>AC245+3*L235</f>
        <v>299.33333333333331</v>
      </c>
      <c r="P258" s="86">
        <f>N258*1.5*((O258-K258)*500/2)</f>
        <v>4.6979086055441492E-5</v>
      </c>
    </row>
    <row r="259" spans="1:22" x14ac:dyDescent="0.25">
      <c r="A259" s="86"/>
      <c r="B259" s="86"/>
      <c r="C259" s="89" t="s">
        <v>89</v>
      </c>
      <c r="D259" s="89">
        <f>SUM(D257:D258)</f>
        <v>0</v>
      </c>
      <c r="E259" s="62" t="s">
        <v>52</v>
      </c>
      <c r="F259" s="86">
        <v>0.99992503278907907</v>
      </c>
      <c r="G259" s="86">
        <f>AC243+0*L235</f>
        <v>100.66666666666666</v>
      </c>
      <c r="H259" s="86">
        <f>F259*1.5*((G259-F243)*500/2+(G259-F244)*500)</f>
        <v>20623.453801274743</v>
      </c>
      <c r="I259" s="62" t="s">
        <v>56</v>
      </c>
      <c r="J259" s="86">
        <v>2.068352421231077E-6</v>
      </c>
      <c r="K259" s="86">
        <f>AC244+1*L235</f>
        <v>197.66666666666666</v>
      </c>
      <c r="L259" s="86">
        <f>J259*1.5*((K259-G259)*500/2+(K259-F245)*500)</f>
        <v>0.1646925615405245</v>
      </c>
      <c r="M259" s="62" t="s">
        <v>60</v>
      </c>
      <c r="N259" s="86">
        <v>1.9800817412589933E-5</v>
      </c>
      <c r="O259" s="86">
        <f>AC245+2*L235</f>
        <v>287.33333333333331</v>
      </c>
      <c r="P259" s="86">
        <f>N259*1.5*((O259-K259)*500/2)</f>
        <v>0.66580248549833643</v>
      </c>
    </row>
    <row r="260" spans="1:22" x14ac:dyDescent="0.25">
      <c r="A260" s="86"/>
      <c r="B260" s="86"/>
      <c r="C260" s="86"/>
      <c r="D260" s="86"/>
      <c r="E260" s="86"/>
      <c r="F260" s="86"/>
      <c r="G260" s="89" t="s">
        <v>79</v>
      </c>
      <c r="H260" s="89">
        <f>SUM(H257:H259)</f>
        <v>20626.012059177712</v>
      </c>
      <c r="I260" s="62" t="s">
        <v>52</v>
      </c>
      <c r="J260" s="86">
        <v>0.99691064368947135</v>
      </c>
      <c r="K260" s="86">
        <f>AC244+0*L235</f>
        <v>185.66666666666666</v>
      </c>
      <c r="L260" s="86">
        <f>J260*1.5*((K260-G259)*500/2+(K260-F245)*500)</f>
        <v>65920.716313966288</v>
      </c>
      <c r="M260" s="62" t="s">
        <v>56</v>
      </c>
      <c r="N260" s="86">
        <v>9.387073768442368E-3</v>
      </c>
      <c r="O260" s="86">
        <f>AC245+1*L235</f>
        <v>275.33333333333331</v>
      </c>
      <c r="P260" s="86">
        <f>N260*1.5*((O260-K260)*500/2)</f>
        <v>315.64035546387458</v>
      </c>
    </row>
    <row r="261" spans="1:22" x14ac:dyDescent="0.25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9" t="s">
        <v>79</v>
      </c>
      <c r="L261" s="89">
        <f>SUM(L257:L260)</f>
        <v>65920.901047520267</v>
      </c>
      <c r="M261" s="62" t="s">
        <v>52</v>
      </c>
      <c r="N261" s="86">
        <v>0.99059312398071564</v>
      </c>
      <c r="O261" s="86">
        <f>AC245+0*L235</f>
        <v>263.33333333333331</v>
      </c>
      <c r="P261" s="86">
        <f>N261*1.5*((O261-K260)*500/2)</f>
        <v>28851.024735938339</v>
      </c>
      <c r="Q261" s="179" t="s">
        <v>80</v>
      </c>
      <c r="R261" s="179"/>
      <c r="S261" s="180">
        <f>D259+H260+L261+P262</f>
        <v>115714.24404756486</v>
      </c>
      <c r="T261" s="180"/>
    </row>
    <row r="262" spans="1:22" x14ac:dyDescent="0.25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9" t="s">
        <v>79</v>
      </c>
      <c r="P262" s="89">
        <f>SUM(P257:P261)</f>
        <v>29167.330940866887</v>
      </c>
      <c r="Q262" s="179"/>
      <c r="R262" s="179"/>
      <c r="S262" s="180"/>
      <c r="T262" s="180"/>
    </row>
    <row r="263" spans="1:22" x14ac:dyDescent="0.25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</row>
    <row r="264" spans="1:22" x14ac:dyDescent="0.25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</row>
    <row r="265" spans="1:22" x14ac:dyDescent="0.25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</row>
    <row r="266" spans="1:22" ht="24" x14ac:dyDescent="0.25">
      <c r="O266" s="131" t="s">
        <v>81</v>
      </c>
      <c r="P266" s="131"/>
      <c r="Q266" s="131">
        <f>(R252+P252+M253+S261)/AC245</f>
        <v>828.41230945844279</v>
      </c>
      <c r="R266" s="131"/>
    </row>
    <row r="267" spans="1:22" ht="15.75" thickBot="1" x14ac:dyDescent="0.3"/>
    <row r="268" spans="1:22" x14ac:dyDescent="0.25">
      <c r="A268" s="181" t="s">
        <v>111</v>
      </c>
      <c r="B268" s="182"/>
    </row>
    <row r="269" spans="1:22" ht="15.75" thickBot="1" x14ac:dyDescent="0.3">
      <c r="A269" s="183"/>
      <c r="B269" s="184"/>
    </row>
    <row r="270" spans="1:22" ht="21" x14ac:dyDescent="0.35">
      <c r="A270" s="185" t="s">
        <v>14</v>
      </c>
      <c r="B270" s="185"/>
      <c r="C270" s="165"/>
      <c r="D270" s="165"/>
      <c r="E270" s="165"/>
      <c r="F270" s="165"/>
      <c r="G270" s="165"/>
      <c r="H270" s="165"/>
      <c r="I270" s="165"/>
      <c r="J270" s="165"/>
      <c r="K270" s="165"/>
      <c r="L270" s="165"/>
      <c r="M270" s="165"/>
      <c r="O270" s="166" t="s">
        <v>72</v>
      </c>
      <c r="P270" s="166"/>
      <c r="Q270" s="166"/>
      <c r="R270" s="166"/>
      <c r="S270" s="166"/>
      <c r="T270" s="166"/>
      <c r="U270" s="166"/>
      <c r="V270" s="166"/>
    </row>
    <row r="271" spans="1:22" ht="36" x14ac:dyDescent="0.25">
      <c r="A271" s="4" t="s">
        <v>15</v>
      </c>
      <c r="B271" s="4" t="s">
        <v>16</v>
      </c>
      <c r="C271" s="4" t="s">
        <v>31</v>
      </c>
      <c r="D271" s="6" t="s">
        <v>17</v>
      </c>
      <c r="E271" s="6" t="s">
        <v>18</v>
      </c>
      <c r="F271" s="6" t="s">
        <v>19</v>
      </c>
      <c r="G271" s="6" t="s">
        <v>20</v>
      </c>
      <c r="H271" s="6" t="s">
        <v>21</v>
      </c>
      <c r="I271" s="6" t="s">
        <v>22</v>
      </c>
      <c r="J271" s="6" t="s">
        <v>23</v>
      </c>
      <c r="K271" s="6" t="s">
        <v>24</v>
      </c>
      <c r="L271" s="6" t="s">
        <v>25</v>
      </c>
      <c r="M271" s="6" t="s">
        <v>26</v>
      </c>
      <c r="N271" s="8"/>
      <c r="O271" s="167" t="s">
        <v>32</v>
      </c>
      <c r="P271" s="167" t="s">
        <v>35</v>
      </c>
      <c r="Q271" s="167" t="s">
        <v>66</v>
      </c>
      <c r="R271" s="99" t="s">
        <v>67</v>
      </c>
      <c r="S271" s="99" t="s">
        <v>68</v>
      </c>
      <c r="T271" s="167" t="s">
        <v>69</v>
      </c>
      <c r="U271" s="71" t="s">
        <v>33</v>
      </c>
      <c r="V271" s="99" t="s">
        <v>70</v>
      </c>
    </row>
    <row r="272" spans="1:22" x14ac:dyDescent="0.25">
      <c r="A272" s="3" t="s">
        <v>27</v>
      </c>
      <c r="B272" s="3">
        <v>0</v>
      </c>
      <c r="C272" s="3">
        <v>0.3</v>
      </c>
      <c r="D272" s="3">
        <v>243</v>
      </c>
      <c r="E272" s="3">
        <v>1.73</v>
      </c>
      <c r="F272" s="3">
        <v>5</v>
      </c>
      <c r="G272" s="169">
        <v>12</v>
      </c>
      <c r="H272" s="3">
        <v>1820</v>
      </c>
      <c r="I272" s="169">
        <v>19645</v>
      </c>
      <c r="J272" s="3">
        <v>20</v>
      </c>
      <c r="K272" s="3">
        <v>40</v>
      </c>
      <c r="L272" s="3">
        <v>500</v>
      </c>
      <c r="M272" s="3">
        <v>1000</v>
      </c>
      <c r="O272" s="168"/>
      <c r="P272" s="168"/>
      <c r="Q272" s="168"/>
      <c r="R272" s="72" t="s">
        <v>71</v>
      </c>
      <c r="S272" s="72" t="s">
        <v>71</v>
      </c>
      <c r="T272" s="168"/>
      <c r="U272" s="73">
        <v>500</v>
      </c>
      <c r="V272" s="3">
        <v>1.5</v>
      </c>
    </row>
    <row r="273" spans="1:34" x14ac:dyDescent="0.25">
      <c r="A273" s="3" t="s">
        <v>28</v>
      </c>
      <c r="B273" s="3">
        <v>0</v>
      </c>
      <c r="C273" s="3">
        <v>0.3</v>
      </c>
      <c r="D273" s="3">
        <v>254</v>
      </c>
      <c r="E273" s="3">
        <v>1.88</v>
      </c>
      <c r="F273" s="3">
        <v>3</v>
      </c>
      <c r="G273" s="170"/>
      <c r="H273" s="3">
        <v>2720</v>
      </c>
      <c r="I273" s="170"/>
      <c r="J273" s="5"/>
      <c r="K273" s="5"/>
      <c r="L273" s="5"/>
      <c r="M273" s="5"/>
      <c r="O273" s="74">
        <v>1</v>
      </c>
      <c r="P273" s="74">
        <v>106</v>
      </c>
      <c r="Q273" s="74">
        <v>110</v>
      </c>
      <c r="R273" s="74">
        <v>6</v>
      </c>
      <c r="S273" s="74">
        <v>5</v>
      </c>
      <c r="T273" s="74">
        <f>R273*$U$5/60+S273</f>
        <v>55</v>
      </c>
      <c r="U273" s="75"/>
    </row>
    <row r="274" spans="1:34" x14ac:dyDescent="0.25">
      <c r="A274" s="3" t="s">
        <v>29</v>
      </c>
      <c r="B274" s="3">
        <v>0</v>
      </c>
      <c r="C274" s="3">
        <v>0.3</v>
      </c>
      <c r="D274" s="3">
        <v>143</v>
      </c>
      <c r="E274" s="3">
        <v>2.4300000000000002</v>
      </c>
      <c r="F274" s="3">
        <v>8</v>
      </c>
      <c r="G274" s="170"/>
      <c r="H274" s="3">
        <v>3700</v>
      </c>
      <c r="I274" s="170"/>
      <c r="J274" s="5"/>
      <c r="K274" s="140" t="s">
        <v>73</v>
      </c>
      <c r="L274" s="141">
        <v>12</v>
      </c>
      <c r="M274" s="140" t="s">
        <v>74</v>
      </c>
      <c r="N274" s="141">
        <v>19645</v>
      </c>
      <c r="O274" s="74">
        <v>2</v>
      </c>
      <c r="P274" s="74">
        <v>76</v>
      </c>
      <c r="Q274" s="74">
        <v>40</v>
      </c>
      <c r="R274" s="74">
        <v>9</v>
      </c>
      <c r="S274" s="74">
        <v>2</v>
      </c>
      <c r="T274" s="74">
        <f t="shared" ref="T274:T276" si="28">R274*$U$5/60+S274</f>
        <v>77</v>
      </c>
      <c r="U274" s="75"/>
    </row>
    <row r="275" spans="1:34" x14ac:dyDescent="0.25">
      <c r="A275" s="3" t="s">
        <v>30</v>
      </c>
      <c r="B275" s="3">
        <v>0</v>
      </c>
      <c r="C275" s="3">
        <v>0.3</v>
      </c>
      <c r="D275" s="3">
        <v>449</v>
      </c>
      <c r="E275" s="3">
        <v>2.5299999999999998</v>
      </c>
      <c r="F275" s="3">
        <v>4</v>
      </c>
      <c r="G275" s="171"/>
      <c r="H275" s="3">
        <v>4320</v>
      </c>
      <c r="I275" s="171"/>
      <c r="J275" s="5"/>
      <c r="K275" s="140"/>
      <c r="L275" s="141"/>
      <c r="M275" s="140"/>
      <c r="N275" s="141"/>
      <c r="O275" s="74">
        <v>3</v>
      </c>
      <c r="P275" s="74">
        <v>95</v>
      </c>
      <c r="Q275" s="74">
        <v>67</v>
      </c>
      <c r="R275" s="74">
        <v>5</v>
      </c>
      <c r="S275" s="74">
        <v>4</v>
      </c>
      <c r="T275" s="74">
        <f t="shared" si="28"/>
        <v>45.666666666666664</v>
      </c>
      <c r="U275" s="75"/>
    </row>
    <row r="276" spans="1:34" ht="15.75" thickBo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O276" s="74">
        <v>4</v>
      </c>
      <c r="P276" s="74">
        <v>140</v>
      </c>
      <c r="Q276" s="94">
        <v>85</v>
      </c>
      <c r="R276" s="94">
        <v>8</v>
      </c>
      <c r="S276" s="94">
        <v>3</v>
      </c>
      <c r="T276" s="74">
        <f t="shared" si="28"/>
        <v>69.666666666666671</v>
      </c>
    </row>
    <row r="277" spans="1:34" ht="15" customHeight="1" x14ac:dyDescent="0.25">
      <c r="A277" s="142" t="s">
        <v>101</v>
      </c>
      <c r="B277" s="144" t="s">
        <v>107</v>
      </c>
      <c r="C277" s="144"/>
      <c r="D277" s="144"/>
      <c r="E277" s="144"/>
      <c r="F277" s="20" t="s">
        <v>27</v>
      </c>
      <c r="G277" s="20" t="s">
        <v>28</v>
      </c>
      <c r="H277" s="20" t="s">
        <v>29</v>
      </c>
      <c r="I277" s="20" t="s">
        <v>30</v>
      </c>
    </row>
    <row r="278" spans="1:34" ht="15.75" customHeight="1" thickBot="1" x14ac:dyDescent="0.3">
      <c r="A278" s="143"/>
      <c r="B278" s="145"/>
      <c r="C278" s="145"/>
      <c r="D278" s="145"/>
      <c r="E278" s="145"/>
      <c r="F278" s="20">
        <v>168</v>
      </c>
      <c r="G278" s="26">
        <v>84</v>
      </c>
      <c r="H278" s="26">
        <v>84</v>
      </c>
      <c r="I278" s="26">
        <v>252</v>
      </c>
    </row>
    <row r="279" spans="1:34" ht="15.75" customHeight="1" thickBot="1" x14ac:dyDescent="0.3">
      <c r="A279" s="143"/>
      <c r="B279" s="145"/>
      <c r="C279" s="145"/>
      <c r="D279" s="145"/>
      <c r="E279" s="145"/>
      <c r="F279" s="7"/>
      <c r="G279" s="146" t="s">
        <v>27</v>
      </c>
      <c r="H279" s="147"/>
      <c r="I279" s="147"/>
      <c r="J279" s="147"/>
      <c r="K279" s="148"/>
      <c r="L279" s="149" t="s">
        <v>28</v>
      </c>
      <c r="M279" s="150"/>
      <c r="N279" s="150"/>
      <c r="O279" s="150"/>
      <c r="P279" s="151"/>
      <c r="Q279" s="152" t="s">
        <v>29</v>
      </c>
      <c r="R279" s="153"/>
      <c r="S279" s="153"/>
      <c r="T279" s="153"/>
      <c r="U279" s="154"/>
      <c r="V279" s="155" t="s">
        <v>30</v>
      </c>
      <c r="W279" s="156"/>
      <c r="X279" s="156"/>
      <c r="Y279" s="156"/>
      <c r="Z279" s="157"/>
      <c r="AA279" s="158" t="s">
        <v>42</v>
      </c>
      <c r="AB279" s="159"/>
      <c r="AC279" s="160" t="s">
        <v>44</v>
      </c>
      <c r="AD279" s="162" t="s">
        <v>47</v>
      </c>
      <c r="AE279" s="163"/>
      <c r="AF279" s="163"/>
      <c r="AG279" s="164"/>
      <c r="AH279" s="138" t="s">
        <v>62</v>
      </c>
    </row>
    <row r="280" spans="1:34" ht="36.75" x14ac:dyDescent="0.25">
      <c r="A280" s="21" t="s">
        <v>32</v>
      </c>
      <c r="B280" s="22" t="s">
        <v>37</v>
      </c>
      <c r="C280" s="23" t="s">
        <v>33</v>
      </c>
      <c r="D280" s="22" t="s">
        <v>38</v>
      </c>
      <c r="E280" s="22" t="s">
        <v>34</v>
      </c>
      <c r="F280" s="25" t="s">
        <v>35</v>
      </c>
      <c r="G280" s="27" t="s">
        <v>39</v>
      </c>
      <c r="H280" s="10" t="s">
        <v>40</v>
      </c>
      <c r="I280" s="10" t="s">
        <v>45</v>
      </c>
      <c r="J280" s="10" t="s">
        <v>46</v>
      </c>
      <c r="K280" s="28" t="s">
        <v>41</v>
      </c>
      <c r="L280" s="30" t="s">
        <v>39</v>
      </c>
      <c r="M280" s="13" t="s">
        <v>40</v>
      </c>
      <c r="N280" s="13" t="s">
        <v>45</v>
      </c>
      <c r="O280" s="13" t="s">
        <v>46</v>
      </c>
      <c r="P280" s="31" t="s">
        <v>41</v>
      </c>
      <c r="Q280" s="33" t="s">
        <v>39</v>
      </c>
      <c r="R280" s="12" t="s">
        <v>40</v>
      </c>
      <c r="S280" s="12" t="s">
        <v>45</v>
      </c>
      <c r="T280" s="12" t="s">
        <v>46</v>
      </c>
      <c r="U280" s="34" t="s">
        <v>41</v>
      </c>
      <c r="V280" s="36" t="s">
        <v>39</v>
      </c>
      <c r="W280" s="11" t="s">
        <v>40</v>
      </c>
      <c r="X280" s="11" t="s">
        <v>45</v>
      </c>
      <c r="Y280" s="11" t="s">
        <v>46</v>
      </c>
      <c r="Z280" s="37" t="s">
        <v>41</v>
      </c>
      <c r="AA280" s="39" t="s">
        <v>41</v>
      </c>
      <c r="AB280" s="40" t="s">
        <v>43</v>
      </c>
      <c r="AC280" s="161"/>
      <c r="AD280" s="43" t="s">
        <v>27</v>
      </c>
      <c r="AE280" s="1" t="s">
        <v>28</v>
      </c>
      <c r="AF280" s="1" t="s">
        <v>29</v>
      </c>
      <c r="AG280" s="1" t="s">
        <v>30</v>
      </c>
      <c r="AH280" s="139"/>
    </row>
    <row r="281" spans="1:34" x14ac:dyDescent="0.25">
      <c r="A281" s="24">
        <v>1</v>
      </c>
      <c r="B281" s="9">
        <v>6</v>
      </c>
      <c r="C281" s="9">
        <v>500</v>
      </c>
      <c r="D281" s="9">
        <v>5</v>
      </c>
      <c r="E281" s="48">
        <f>B281*C281/60+D281</f>
        <v>55</v>
      </c>
      <c r="F281" s="14">
        <v>106</v>
      </c>
      <c r="G281" s="49">
        <f>B$5*(1-AD281*C$5)</f>
        <v>0</v>
      </c>
      <c r="H281" s="50">
        <f>G281+E281</f>
        <v>55</v>
      </c>
      <c r="I281" s="15">
        <f>(H281/D$5)^E$5</f>
        <v>7.6511831764011648E-2</v>
      </c>
      <c r="J281" s="15">
        <f>(G281/D$5)^E$5</f>
        <v>0</v>
      </c>
      <c r="K281" s="29">
        <f>1-EXP(J281-I281)</f>
        <v>7.3658046035411151E-2</v>
      </c>
      <c r="L281" s="51">
        <f>B$6*(1-AE281*C$6)</f>
        <v>0</v>
      </c>
      <c r="M281" s="52">
        <f>L281+E281</f>
        <v>55</v>
      </c>
      <c r="N281" s="17">
        <f>(M281/D$6)^E$6</f>
        <v>5.633709759436846E-2</v>
      </c>
      <c r="O281" s="17">
        <f>(L281/D$6)^E$6</f>
        <v>0</v>
      </c>
      <c r="P281" s="32">
        <f>1-EXP(O281-N281)</f>
        <v>5.4779549360660096E-2</v>
      </c>
      <c r="Q281" s="53">
        <f>B$7*(1-AF281*C$7)</f>
        <v>0</v>
      </c>
      <c r="R281" s="54">
        <f>Q281+E281</f>
        <v>55</v>
      </c>
      <c r="S281" s="16">
        <f>(R281/D$7)^E$7</f>
        <v>9.8087748172662498E-2</v>
      </c>
      <c r="T281" s="16">
        <f>(Q281/D$7)^E$7</f>
        <v>0</v>
      </c>
      <c r="U281" s="35">
        <f>1-EXP(T281-S281)</f>
        <v>9.3430649540250821E-2</v>
      </c>
      <c r="V281" s="55">
        <f>B$8*(1-AG281*C$8)</f>
        <v>0</v>
      </c>
      <c r="W281" s="56">
        <f>V281+E281</f>
        <v>55</v>
      </c>
      <c r="X281" s="18">
        <f>(W281/D$8)^E$8</f>
        <v>4.9309927237744132E-3</v>
      </c>
      <c r="Y281" s="18">
        <f>(V281/D$8)^E$8</f>
        <v>0</v>
      </c>
      <c r="Z281" s="38">
        <f>1-EXP(Y281-X281)</f>
        <v>4.9188553371368737E-3</v>
      </c>
      <c r="AA281" s="41">
        <f>K281*P281*U281*Z281</f>
        <v>1.8543515323034395E-6</v>
      </c>
      <c r="AB281" s="42">
        <f>1-AA281</f>
        <v>0.99999814564846767</v>
      </c>
      <c r="AC281" s="47">
        <f>(AD281*F$5+AE281*F$6+AF281*F$7+AG281*F$8)+E281</f>
        <v>55</v>
      </c>
      <c r="AD281" s="43">
        <v>0</v>
      </c>
      <c r="AE281" s="1">
        <v>0</v>
      </c>
      <c r="AF281" s="1">
        <v>0</v>
      </c>
      <c r="AG281" s="1">
        <v>0</v>
      </c>
      <c r="AH281" s="44">
        <v>110</v>
      </c>
    </row>
    <row r="282" spans="1:34" x14ac:dyDescent="0.25">
      <c r="A282" s="24">
        <v>3</v>
      </c>
      <c r="B282" s="9">
        <v>5</v>
      </c>
      <c r="C282" s="9">
        <v>500</v>
      </c>
      <c r="D282" s="9">
        <v>4</v>
      </c>
      <c r="E282" s="9">
        <f t="shared" ref="E282:E284" si="29">B282*C282/60+D282</f>
        <v>45.666666666666664</v>
      </c>
      <c r="F282" s="14">
        <v>95</v>
      </c>
      <c r="G282" s="49">
        <f>H281*(1-AD282*C$5)</f>
        <v>55</v>
      </c>
      <c r="H282" s="50">
        <f>G282+E282</f>
        <v>100.66666666666666</v>
      </c>
      <c r="I282" s="15">
        <f>(H282/D$5)^E$5</f>
        <v>0.21771752434165836</v>
      </c>
      <c r="J282" s="15">
        <f>(G282/D$5)^E$5</f>
        <v>7.6511831764011648E-2</v>
      </c>
      <c r="K282" s="29">
        <f>1-EXP(J282-I282)</f>
        <v>0.13168931173612675</v>
      </c>
      <c r="L282" s="51">
        <f>M281*(1-AE282*C$6)</f>
        <v>55</v>
      </c>
      <c r="M282" s="52">
        <f>L282+E282</f>
        <v>100.66666666666666</v>
      </c>
      <c r="N282" s="17">
        <f>(M282/D$6)^E$6</f>
        <v>0.17552448466860393</v>
      </c>
      <c r="O282" s="17">
        <f>(L282/D$6)^E$6</f>
        <v>5.633709759436846E-2</v>
      </c>
      <c r="P282" s="32">
        <f>1-EXP(O282-N282)</f>
        <v>0.11235854735808759</v>
      </c>
      <c r="Q282" s="53">
        <f>R281*(1-AF282*C$7)</f>
        <v>55</v>
      </c>
      <c r="R282" s="54">
        <f>Q282+E282</f>
        <v>100.66666666666666</v>
      </c>
      <c r="S282" s="16">
        <f>(R282/D$7)^E$7</f>
        <v>0.42613347475170693</v>
      </c>
      <c r="T282" s="16">
        <f>(Q282/D$7)^E$7</f>
        <v>9.8087748172662498E-2</v>
      </c>
      <c r="U282" s="35">
        <f>1-EXP(T282-S282)</f>
        <v>0.27966991927816065</v>
      </c>
      <c r="V282" s="55">
        <f>W281*(1-AG282*C$8)</f>
        <v>55</v>
      </c>
      <c r="W282" s="56">
        <f>V282+E282</f>
        <v>100.66666666666666</v>
      </c>
      <c r="X282" s="18">
        <f>(W282/D$8)^E$8</f>
        <v>2.275713304339216E-2</v>
      </c>
      <c r="Y282" s="18">
        <f>(V282/D$8)^E$8</f>
        <v>4.9309927237744132E-3</v>
      </c>
      <c r="Z282" s="38">
        <f>1-EXP(Y282-X282)</f>
        <v>1.766819459368596E-2</v>
      </c>
      <c r="AA282" s="41">
        <f>K282*P282*U282*Z282</f>
        <v>7.3112994965834617E-5</v>
      </c>
      <c r="AB282" s="42">
        <f>1-AA282</f>
        <v>0.99992688700503418</v>
      </c>
      <c r="AC282" s="47">
        <f>AF282*F$7+E282+AC281</f>
        <v>100.66666666666666</v>
      </c>
      <c r="AD282" s="43">
        <v>0</v>
      </c>
      <c r="AE282" s="1">
        <v>0</v>
      </c>
      <c r="AF282" s="1">
        <v>0</v>
      </c>
      <c r="AG282" s="1">
        <v>0</v>
      </c>
      <c r="AH282" s="44">
        <v>67</v>
      </c>
    </row>
    <row r="283" spans="1:34" x14ac:dyDescent="0.25">
      <c r="A283" s="57">
        <v>4</v>
      </c>
      <c r="B283" s="58">
        <v>8</v>
      </c>
      <c r="C283" s="58">
        <v>500</v>
      </c>
      <c r="D283" s="58">
        <v>3</v>
      </c>
      <c r="E283" s="66">
        <f t="shared" si="29"/>
        <v>69.666666666666671</v>
      </c>
      <c r="F283" s="67">
        <v>140</v>
      </c>
      <c r="G283" s="68">
        <f>H282*(1-AD283*C$5)</f>
        <v>100.66666666666666</v>
      </c>
      <c r="H283" s="69">
        <f>G283+E283</f>
        <v>170.33333333333331</v>
      </c>
      <c r="I283" s="70">
        <f>(H283/D$5)^E$5</f>
        <v>0.54081600193052226</v>
      </c>
      <c r="J283" s="70">
        <f>(G283/D$5)^E$5</f>
        <v>0.21771752434165836</v>
      </c>
      <c r="K283" s="29">
        <f>1-EXP(J283-I283)</f>
        <v>0.27609743732128889</v>
      </c>
      <c r="L283" s="51">
        <f>M282*(1-AE283*C$6)</f>
        <v>70.466666666666654</v>
      </c>
      <c r="M283" s="52">
        <f>L283+E283</f>
        <v>140.13333333333333</v>
      </c>
      <c r="N283" s="17">
        <f>(M283/D$6)^E$6</f>
        <v>0.32689670548124367</v>
      </c>
      <c r="O283" s="17">
        <f>(L283/D$6)^E$6</f>
        <v>8.9768097666615101E-2</v>
      </c>
      <c r="P283" s="32">
        <f>1-EXP(O283-N283)</f>
        <v>0.21111017590303682</v>
      </c>
      <c r="Q283" s="53">
        <f>R282*(1-AF283*C$7)</f>
        <v>70.466666666666654</v>
      </c>
      <c r="R283" s="54">
        <f>Q283+E283</f>
        <v>140.13333333333333</v>
      </c>
      <c r="S283" s="16">
        <f>(R283/D$7)^E$7</f>
        <v>0.95198292505493443</v>
      </c>
      <c r="T283" s="16">
        <f>(Q283/D$7)^E$7</f>
        <v>0.17911579648738157</v>
      </c>
      <c r="U283" s="35">
        <f>1-EXP(T283-S283)</f>
        <v>0.53831254841918419</v>
      </c>
      <c r="V283" s="55">
        <f>W282*(1-AG283*C$8)</f>
        <v>100.66666666666666</v>
      </c>
      <c r="W283" s="56">
        <f>V283+E283</f>
        <v>170.33333333333331</v>
      </c>
      <c r="X283" s="18">
        <f>(W283/D$8)^E$8</f>
        <v>8.6100338756432845E-2</v>
      </c>
      <c r="Y283" s="18">
        <f>(V283/D$8)^E$8</f>
        <v>2.275713304339216E-2</v>
      </c>
      <c r="Z283" s="38">
        <f>1-EXP(Y283-X283)</f>
        <v>6.1378721782433199E-2</v>
      </c>
      <c r="AA283" s="41">
        <f>K283*P283*U283*Z283</f>
        <v>1.9258563364529546E-3</v>
      </c>
      <c r="AB283" s="42">
        <f>1-AA283</f>
        <v>0.99807414366354708</v>
      </c>
      <c r="AC283" s="47">
        <f>(AF283*F$7)+E283+AC282</f>
        <v>178.33333333333331</v>
      </c>
      <c r="AD283" s="77">
        <v>0</v>
      </c>
      <c r="AE283" s="78">
        <v>1</v>
      </c>
      <c r="AF283" s="78">
        <v>1</v>
      </c>
      <c r="AG283" s="78">
        <v>0</v>
      </c>
      <c r="AH283" s="79">
        <v>85</v>
      </c>
    </row>
    <row r="284" spans="1:34" ht="15.75" thickBot="1" x14ac:dyDescent="0.3">
      <c r="A284" s="76">
        <v>2</v>
      </c>
      <c r="B284" s="58">
        <v>9</v>
      </c>
      <c r="C284" s="58">
        <v>500</v>
      </c>
      <c r="D284" s="58">
        <v>2</v>
      </c>
      <c r="E284" s="66">
        <f t="shared" si="29"/>
        <v>77</v>
      </c>
      <c r="F284" s="67">
        <v>76</v>
      </c>
      <c r="G284" s="68">
        <f>H283*(1-AD284*C$5)</f>
        <v>119.23333333333331</v>
      </c>
      <c r="H284" s="69">
        <f>G284+E284</f>
        <v>196.23333333333329</v>
      </c>
      <c r="I284" s="70">
        <f>(H284/D$5)^E$5</f>
        <v>0.69087274166660251</v>
      </c>
      <c r="J284" s="70">
        <f>(G284/D$5)^E$5</f>
        <v>0.29178915240732917</v>
      </c>
      <c r="K284" s="29">
        <f>1-EXP(J284-I284)</f>
        <v>0.32906538391816376</v>
      </c>
      <c r="L284" s="51">
        <f>M283*(1-AE284*C$6)</f>
        <v>98.09333333333332</v>
      </c>
      <c r="M284" s="52">
        <f>L284+E284</f>
        <v>175.09333333333331</v>
      </c>
      <c r="N284" s="17">
        <f>(M284/D$6)^E$6</f>
        <v>0.49688911241375849</v>
      </c>
      <c r="O284" s="17">
        <f>(L284/D$6)^E$6</f>
        <v>0.16718405662856181</v>
      </c>
      <c r="P284" s="32">
        <f>1-EXP(O284-N284)</f>
        <v>0.28086419289859976</v>
      </c>
      <c r="Q284" s="53">
        <f>R283*(1-AF284*C$7)</f>
        <v>98.09333333333332</v>
      </c>
      <c r="R284" s="54">
        <f>Q284+E284</f>
        <v>175.09333333333331</v>
      </c>
      <c r="S284" s="16">
        <f>(R284/D$7)^E$7</f>
        <v>1.6356055775969487</v>
      </c>
      <c r="T284" s="16">
        <f>(Q284/D$7)^E$7</f>
        <v>0.40014500142931764</v>
      </c>
      <c r="U284" s="35">
        <f>1-EXP(T284-S284)</f>
        <v>0.70929915834970092</v>
      </c>
      <c r="V284" s="55">
        <f>W283*(1-AG284*C$8)</f>
        <v>170.33333333333331</v>
      </c>
      <c r="W284" s="56">
        <f>V284+E284</f>
        <v>247.33333333333331</v>
      </c>
      <c r="X284" s="18">
        <f>(W284/D$8)^E$8</f>
        <v>0.221218713919872</v>
      </c>
      <c r="Y284" s="18">
        <f>(V284/D$8)^E$8</f>
        <v>8.6100338756432845E-2</v>
      </c>
      <c r="Z284" s="38">
        <f>1-EXP(Y284-X284)</f>
        <v>0.12638750845450208</v>
      </c>
      <c r="AA284" s="41">
        <f>K284*P284*U284*Z284</f>
        <v>8.2853750260965774E-3</v>
      </c>
      <c r="AB284" s="42">
        <f>1-AA284</f>
        <v>0.99171462497390339</v>
      </c>
      <c r="AC284" s="47">
        <f>(AF284*F$7)+E284+AC283</f>
        <v>263.33333333333331</v>
      </c>
      <c r="AD284" s="80">
        <v>1</v>
      </c>
      <c r="AE284" s="45">
        <v>1</v>
      </c>
      <c r="AF284" s="81">
        <v>1</v>
      </c>
      <c r="AG284" s="45">
        <v>0</v>
      </c>
      <c r="AH284" s="82">
        <v>40</v>
      </c>
    </row>
    <row r="285" spans="1:34" ht="18.75" x14ac:dyDescent="0.3">
      <c r="A285" s="132" t="s">
        <v>53</v>
      </c>
      <c r="B285" s="132"/>
      <c r="C285" s="132"/>
      <c r="D285" s="132"/>
      <c r="E285" s="132"/>
      <c r="F285" s="132"/>
      <c r="G285" s="132"/>
      <c r="H285" s="132"/>
      <c r="I285" s="132"/>
      <c r="J285" s="132"/>
      <c r="AG285" s="46"/>
    </row>
    <row r="286" spans="1:34" ht="15.75" x14ac:dyDescent="0.25">
      <c r="A286" s="19" t="s">
        <v>58</v>
      </c>
      <c r="B286" s="60" t="s">
        <v>49</v>
      </c>
      <c r="C286" s="61" t="s">
        <v>50</v>
      </c>
      <c r="D286" s="19" t="s">
        <v>54</v>
      </c>
      <c r="E286" s="60" t="s">
        <v>57</v>
      </c>
      <c r="F286" s="61" t="s">
        <v>50</v>
      </c>
      <c r="G286" s="19" t="s">
        <v>82</v>
      </c>
      <c r="H286" s="60" t="s">
        <v>61</v>
      </c>
      <c r="I286" s="61" t="s">
        <v>50</v>
      </c>
      <c r="J286" s="19" t="s">
        <v>48</v>
      </c>
      <c r="K286" s="83" t="s">
        <v>84</v>
      </c>
      <c r="L286" s="61" t="s">
        <v>50</v>
      </c>
      <c r="M286" s="61" t="s">
        <v>85</v>
      </c>
      <c r="O286" s="174" t="s">
        <v>64</v>
      </c>
      <c r="P286" s="174"/>
      <c r="Q286" s="175" t="s">
        <v>109</v>
      </c>
      <c r="R286" s="175"/>
    </row>
    <row r="287" spans="1:34" ht="24.75" x14ac:dyDescent="0.25">
      <c r="A287" s="61" t="s">
        <v>51</v>
      </c>
      <c r="B287" s="1">
        <f>AA281</f>
        <v>1.8543515323034395E-6</v>
      </c>
      <c r="C287" s="59">
        <f>MAX(AC281+1*L274-F281,0)</f>
        <v>0</v>
      </c>
      <c r="D287" s="62" t="s">
        <v>55</v>
      </c>
      <c r="E287" s="1">
        <f>AA281*AA282</f>
        <v>1.3557719424618909E-10</v>
      </c>
      <c r="F287" s="1">
        <f>MAX(AC282+2*L274-F282,0)</f>
        <v>29.666666666666657</v>
      </c>
      <c r="G287" s="62" t="s">
        <v>59</v>
      </c>
      <c r="H287" s="1">
        <f>AA281*AA282*AA283</f>
        <v>2.6110219861753631E-13</v>
      </c>
      <c r="I287" s="1">
        <f>AC283+3*L274-F283</f>
        <v>74.333333333333314</v>
      </c>
      <c r="J287" s="62" t="s">
        <v>83</v>
      </c>
      <c r="K287" s="1">
        <f>AA281*AA282*AA283*AA284</f>
        <v>2.1633296356846438E-15</v>
      </c>
      <c r="L287" s="1">
        <f>AC284+4*L274-F284</f>
        <v>235.33333333333331</v>
      </c>
      <c r="M287" s="1">
        <f>B287*C287*AH281+E287*F287*AH282+H287*I287*AH283+K287*L287*AH284</f>
        <v>2.7115236463124415E-7</v>
      </c>
      <c r="O287" s="1" t="s">
        <v>27</v>
      </c>
      <c r="P287" s="1">
        <f>H272</f>
        <v>1820</v>
      </c>
      <c r="Q287" s="1">
        <f>(K281*(1-P281)*(1-U281)*(1-Z281))+(P281*(1-K281)*(1-U281)*(1-Z281))+(U281*(1-K281)*(1-P281)*(1-Z281))+(Z281*(1-K281)*(1-P281)*(1-U281))</f>
        <v>0.19389466846386108</v>
      </c>
      <c r="R287" s="1">
        <f>Q287*(L$7*(J$5*K$5+L$5)+I$5)</f>
        <v>6833.8175900087836</v>
      </c>
    </row>
    <row r="288" spans="1:34" ht="24.75" x14ac:dyDescent="0.25">
      <c r="A288" s="62" t="s">
        <v>52</v>
      </c>
      <c r="B288" s="1">
        <f>AB281</f>
        <v>0.99999814564846767</v>
      </c>
      <c r="C288" s="59">
        <f>MAX(AC281-F281,0)</f>
        <v>0</v>
      </c>
      <c r="D288" s="62" t="s">
        <v>56</v>
      </c>
      <c r="E288" s="1">
        <f>AA281*AB282+AA282*AB281</f>
        <v>7.4967075343749566E-5</v>
      </c>
      <c r="F288" s="1">
        <f>MAX(AC282+1*L274-F282,0)</f>
        <v>17.666666666666657</v>
      </c>
      <c r="G288" s="62" t="s">
        <v>60</v>
      </c>
      <c r="H288" s="1">
        <f>AA281*AA282*AB283+AA282*AA283*AB281+AA281*AA283*AB282</f>
        <v>1.4451113316815372E-7</v>
      </c>
      <c r="I288" s="1">
        <f>AC283+2*L274-F283</f>
        <v>62.333333333333314</v>
      </c>
      <c r="J288" s="62" t="s">
        <v>59</v>
      </c>
      <c r="K288">
        <f>AB281*AA282*AA283*AA284+AB282*AA281*AA283*AA284*+AB283*AA281*AA282*AA284+AB284*AA281*AA282*AA283</f>
        <v>1.166880038711814E-9</v>
      </c>
      <c r="L288" s="1">
        <f>AC284+3*L274-F284</f>
        <v>223.33333333333331</v>
      </c>
      <c r="M288" s="1">
        <f>B288*C288*AH281+E288*F288*AH282+H288*I288*AH283+K288*L288*AH284</f>
        <v>8.9512120464133274E-2</v>
      </c>
      <c r="O288" s="1" t="s">
        <v>28</v>
      </c>
      <c r="P288" s="1">
        <f>2*H273</f>
        <v>5440</v>
      </c>
      <c r="Q288" s="1">
        <f t="shared" ref="Q288:Q290" si="30">(K282*(1-P282)*(1-U282)*(1-Z282))+(P282*(1-K282)*(1-U282)*(1-Z282))+(U282*(1-K282)*(1-P282)*(1-Z282))+(Z282*(1-K282)*(1-P282)*(1-U282))</f>
        <v>0.37330502838363955</v>
      </c>
      <c r="R288" s="1">
        <f t="shared" ref="R288:R290" si="31">Q288*(L$7*(J$5*K$5+L$5)+I$5)</f>
        <v>13157.135725381377</v>
      </c>
    </row>
    <row r="289" spans="1:20" ht="24.75" x14ac:dyDescent="0.25">
      <c r="A289" s="1"/>
      <c r="B289" s="1"/>
      <c r="C289" s="1"/>
      <c r="D289" s="62" t="s">
        <v>52</v>
      </c>
      <c r="E289" s="1">
        <f>AB281*AB282</f>
        <v>0.99992503278907907</v>
      </c>
      <c r="F289" s="59">
        <f>MAX(AC282-F282,0)</f>
        <v>5.6666666666666572</v>
      </c>
      <c r="G289" s="62" t="s">
        <v>56</v>
      </c>
      <c r="H289" s="1">
        <f>AA281*AB282*AB283+AA282*AB281*AB283*+AA283*AB281*AB282</f>
        <v>1.9911681597350199E-6</v>
      </c>
      <c r="I289" s="1">
        <f>AC283+1*L274-F283</f>
        <v>50.333333333333314</v>
      </c>
      <c r="J289" s="62" t="s">
        <v>60</v>
      </c>
      <c r="K289" s="1">
        <f>AA281*AA282*AB283*AB284 + AA281*AA283*AB282*AB284 + AA281*AA284*AB282*AB283 + AA282*AA283*AB281*AB284 + AA282*AA284*AB281*AB283 + AA283*AA284*AB281*AB282</f>
        <v>1.6718493714222491E-5</v>
      </c>
      <c r="L289" s="1">
        <f>AC284+2*L274-F284</f>
        <v>211.33333333333331</v>
      </c>
      <c r="M289" s="1">
        <f>B289*C289*AH281+E289*F289*AH282+H289*I289*AH283+K289*L289*AH284</f>
        <v>379.78804999689407</v>
      </c>
      <c r="O289" s="1" t="s">
        <v>29</v>
      </c>
      <c r="P289" s="1">
        <f>2*(F274*(J272*K272+L272)+H274)</f>
        <v>28200</v>
      </c>
      <c r="Q289" s="1">
        <f t="shared" si="30"/>
        <v>0.46534728735971026</v>
      </c>
      <c r="R289" s="1">
        <f t="shared" si="31"/>
        <v>16401.165142992988</v>
      </c>
    </row>
    <row r="290" spans="1:20" ht="24.75" x14ac:dyDescent="0.25">
      <c r="A290" s="1"/>
      <c r="B290" s="1"/>
      <c r="C290" s="1"/>
      <c r="D290" s="1"/>
      <c r="E290" s="1"/>
      <c r="F290" s="1"/>
      <c r="G290" s="62" t="s">
        <v>52</v>
      </c>
      <c r="H290" s="1">
        <f>AB281*AB282*AB283</f>
        <v>0.99799932082870435</v>
      </c>
      <c r="I290" s="63">
        <f>AC283-F283</f>
        <v>38.333333333333314</v>
      </c>
      <c r="J290" s="62" t="s">
        <v>56</v>
      </c>
      <c r="K290" s="1">
        <f>AA281*AB282*AB283*AB284+AA282*AB281*AB283*AB284+AA283*AB281*AB282*AB284+AA284*AB281*AB282*AB283</f>
        <v>1.0252758128846953E-2</v>
      </c>
      <c r="L290" s="1">
        <f>AC284+1*L274-F284</f>
        <v>199.33333333333331</v>
      </c>
      <c r="M290" s="1">
        <f>B290*C290*AH281+E290*F290*AH282+H290*I290*AH283+K290*L290*AH284</f>
        <v>3333.563111847533</v>
      </c>
      <c r="O290" s="1" t="s">
        <v>30</v>
      </c>
      <c r="P290" s="1">
        <v>0</v>
      </c>
      <c r="Q290" s="1">
        <f t="shared" si="30"/>
        <v>0.4246597057015789</v>
      </c>
      <c r="R290" s="1">
        <f t="shared" si="31"/>
        <v>14967.131327452149</v>
      </c>
    </row>
    <row r="291" spans="1:20" ht="30" x14ac:dyDescent="0.25">
      <c r="I291" s="84"/>
      <c r="J291" s="62" t="s">
        <v>52</v>
      </c>
      <c r="K291" s="85">
        <f>AB281*AB282*AB283*AB284</f>
        <v>0.9897305221798488</v>
      </c>
      <c r="L291" s="1">
        <f>AC284+0*L274-F284</f>
        <v>187.33333333333331</v>
      </c>
      <c r="M291" s="1">
        <f>B291*C291*AH281+E291*F291*AH282+H291*I291*AH283+K291*L291*AH284</f>
        <v>7416.3807128676663</v>
      </c>
      <c r="O291" s="64" t="s">
        <v>65</v>
      </c>
      <c r="P291" s="65">
        <f>SUM(P287:P290)</f>
        <v>35460</v>
      </c>
      <c r="Q291" s="96" t="s">
        <v>108</v>
      </c>
      <c r="R291" s="97">
        <f>SUM(R287:R290)</f>
        <v>51359.249785835302</v>
      </c>
    </row>
    <row r="292" spans="1:20" x14ac:dyDescent="0.25">
      <c r="L292" s="176" t="s">
        <v>63</v>
      </c>
      <c r="M292" s="177">
        <f>SUM(M287:M291)</f>
        <v>11129.82138710371</v>
      </c>
    </row>
    <row r="293" spans="1:20" x14ac:dyDescent="0.25">
      <c r="L293" s="176"/>
      <c r="M293" s="177"/>
    </row>
    <row r="294" spans="1:20" x14ac:dyDescent="0.25">
      <c r="A294" s="178" t="s">
        <v>90</v>
      </c>
      <c r="B294" s="178"/>
      <c r="C294" s="178"/>
      <c r="D294" s="178"/>
      <c r="E294" s="178"/>
      <c r="F294" s="178"/>
      <c r="G294" s="178"/>
      <c r="H294" s="178"/>
      <c r="I294" s="178"/>
      <c r="J294" s="178"/>
      <c r="K294" s="178"/>
      <c r="L294" s="178"/>
      <c r="M294" s="178"/>
      <c r="N294" s="178"/>
    </row>
    <row r="295" spans="1:20" ht="15.75" x14ac:dyDescent="0.25">
      <c r="A295" s="87" t="s">
        <v>77</v>
      </c>
      <c r="B295" s="62" t="s">
        <v>49</v>
      </c>
      <c r="C295" s="90" t="s">
        <v>78</v>
      </c>
      <c r="D295" s="62" t="s">
        <v>88</v>
      </c>
      <c r="E295" s="87" t="s">
        <v>76</v>
      </c>
      <c r="F295" s="62" t="s">
        <v>57</v>
      </c>
      <c r="G295" s="90" t="s">
        <v>102</v>
      </c>
      <c r="H295" s="62" t="s">
        <v>88</v>
      </c>
      <c r="I295" s="87" t="s">
        <v>86</v>
      </c>
      <c r="J295" s="62" t="s">
        <v>61</v>
      </c>
      <c r="K295" s="90" t="s">
        <v>103</v>
      </c>
      <c r="L295" s="62" t="s">
        <v>88</v>
      </c>
      <c r="M295" s="87" t="s">
        <v>75</v>
      </c>
      <c r="N295" s="62" t="s">
        <v>84</v>
      </c>
      <c r="O295" s="90" t="s">
        <v>87</v>
      </c>
      <c r="P295" s="62" t="s">
        <v>88</v>
      </c>
    </row>
    <row r="296" spans="1:20" ht="24.75" x14ac:dyDescent="0.25">
      <c r="A296" s="62" t="s">
        <v>51</v>
      </c>
      <c r="B296" s="86">
        <v>1.8543515323034395E-6</v>
      </c>
      <c r="C296" s="86">
        <f>AC281+1*L274</f>
        <v>67</v>
      </c>
      <c r="D296" s="86">
        <f>MAX(B296*1.5*((C296-F281)*500/2),0)</f>
        <v>0</v>
      </c>
      <c r="E296" s="62" t="s">
        <v>55</v>
      </c>
      <c r="F296" s="86">
        <v>1.3557719424618909E-10</v>
      </c>
      <c r="G296" s="86">
        <f>AC282+2*L274</f>
        <v>124.66666666666666</v>
      </c>
      <c r="H296" s="86">
        <f>F296*1.5*((G296-F282)*500/2+(G296-F284)*500)</f>
        <v>6.456863875974754E-6</v>
      </c>
      <c r="I296" s="62" t="s">
        <v>59</v>
      </c>
      <c r="J296" s="86">
        <v>2.6110219861753631E-13</v>
      </c>
      <c r="K296" s="86">
        <f>AC283+3*L274</f>
        <v>214.33333333333331</v>
      </c>
      <c r="L296" s="86">
        <f>J296*1.5*((K296-F283)*500/2+(K296-G296)*500)</f>
        <v>2.4837346643493141E-8</v>
      </c>
      <c r="M296" s="62" t="s">
        <v>83</v>
      </c>
      <c r="N296" s="86">
        <v>2.1633296356846438E-15</v>
      </c>
      <c r="O296" s="86">
        <f>AC284+4*L274</f>
        <v>311.33333333333331</v>
      </c>
      <c r="P296" s="86">
        <f>N296*1.5*((O296-K296)*500/2)</f>
        <v>7.8691115498028909E-11</v>
      </c>
    </row>
    <row r="297" spans="1:20" ht="24.75" x14ac:dyDescent="0.25">
      <c r="A297" s="62" t="s">
        <v>52</v>
      </c>
      <c r="B297" s="86">
        <v>0.99999814564846767</v>
      </c>
      <c r="C297" s="88">
        <f>AC281</f>
        <v>55</v>
      </c>
      <c r="D297" s="86">
        <f>MAX(B297*1.5*((C297-F281)*500/2),0)</f>
        <v>0</v>
      </c>
      <c r="E297" s="62" t="s">
        <v>56</v>
      </c>
      <c r="F297" s="86">
        <v>7.4967075343749566E-5</v>
      </c>
      <c r="G297" s="86">
        <f>AC282+1*L274</f>
        <v>112.66666666666666</v>
      </c>
      <c r="H297" s="86">
        <f>F297*1.5*((G297-F282)*500/2+(G297-F284)*500)</f>
        <v>2.5582514461054529</v>
      </c>
      <c r="I297" s="62" t="s">
        <v>60</v>
      </c>
      <c r="J297" s="86">
        <v>1.4451113316815372E-7</v>
      </c>
      <c r="K297" s="86">
        <f>AC283+2*L274</f>
        <v>202.33333333333331</v>
      </c>
      <c r="L297" s="86">
        <f>J297*1.5*((K297-F283)*500/2+(K297-G297)*500)</f>
        <v>1.3096321443363928E-2</v>
      </c>
      <c r="M297" s="62" t="s">
        <v>59</v>
      </c>
      <c r="N297" s="86">
        <v>1.166880038711814E-9</v>
      </c>
      <c r="O297" s="86">
        <f>AC284+3*L274</f>
        <v>299.33333333333331</v>
      </c>
      <c r="P297" s="86">
        <f>N297*1.5*((O297-K297)*500/2)</f>
        <v>4.2445261408142234E-5</v>
      </c>
    </row>
    <row r="298" spans="1:20" x14ac:dyDescent="0.25">
      <c r="A298" s="86"/>
      <c r="B298" s="86"/>
      <c r="C298" s="89" t="s">
        <v>89</v>
      </c>
      <c r="D298" s="89">
        <f>SUM(D296:D297)</f>
        <v>0</v>
      </c>
      <c r="E298" s="62" t="s">
        <v>52</v>
      </c>
      <c r="F298" s="86">
        <v>0.99992503278907907</v>
      </c>
      <c r="G298" s="86">
        <f>AC282+0*L274</f>
        <v>100.66666666666666</v>
      </c>
      <c r="H298" s="86">
        <f>F298*1.5*((G298-F282)*500/2+(G298-F284)*500)</f>
        <v>20623.453801274743</v>
      </c>
      <c r="I298" s="62" t="s">
        <v>56</v>
      </c>
      <c r="J298" s="86">
        <v>1.9911681597350199E-6</v>
      </c>
      <c r="K298" s="86">
        <f>AC283+1*L274</f>
        <v>190.33333333333331</v>
      </c>
      <c r="L298" s="86">
        <f>J298*1.5*((K298-F283)*500/2+(K298-G298)*500)</f>
        <v>0.17148935775717858</v>
      </c>
      <c r="M298" s="62" t="s">
        <v>60</v>
      </c>
      <c r="N298" s="86">
        <v>1.6718493714222491E-5</v>
      </c>
      <c r="O298" s="86">
        <f>AC284+2*L274</f>
        <v>287.33333333333331</v>
      </c>
      <c r="P298" s="86">
        <f>N298*1.5*((O298-K298)*500/2)</f>
        <v>0.60813520885484307</v>
      </c>
    </row>
    <row r="299" spans="1:20" x14ac:dyDescent="0.25">
      <c r="A299" s="86"/>
      <c r="B299" s="86"/>
      <c r="C299" s="86"/>
      <c r="D299" s="86"/>
      <c r="E299" s="86"/>
      <c r="F299" s="86"/>
      <c r="G299" s="89" t="s">
        <v>79</v>
      </c>
      <c r="H299" s="89">
        <f>SUM(H296:H298)</f>
        <v>20626.012059177712</v>
      </c>
      <c r="I299" s="62" t="s">
        <v>52</v>
      </c>
      <c r="J299" s="86">
        <v>0.99799932082870435</v>
      </c>
      <c r="K299" s="86">
        <f>AC283+0*L274</f>
        <v>178.33333333333331</v>
      </c>
      <c r="L299" s="86">
        <f>J299*1.5*((K299-F283)*500/2+(K299-G298)*500)</f>
        <v>72479.700675184649</v>
      </c>
      <c r="M299" s="62" t="s">
        <v>56</v>
      </c>
      <c r="N299" s="86">
        <v>1.0252758128846953E-2</v>
      </c>
      <c r="O299" s="86">
        <f>AC284+1*L274</f>
        <v>275.33333333333331</v>
      </c>
      <c r="P299" s="86">
        <f>N299*1.5*((O299-K299)*500/2)</f>
        <v>372.9440769368079</v>
      </c>
    </row>
    <row r="300" spans="1:20" x14ac:dyDescent="0.25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9" t="s">
        <v>79</v>
      </c>
      <c r="L300" s="89">
        <f>SUM(L296:L299)</f>
        <v>72479.885260888681</v>
      </c>
      <c r="M300" s="62" t="s">
        <v>52</v>
      </c>
      <c r="N300" s="86">
        <v>0.9897305221798488</v>
      </c>
      <c r="O300" s="86">
        <f>AC284+0*L274</f>
        <v>263.33333333333331</v>
      </c>
      <c r="P300" s="86">
        <f>N300*1.5*((O300-K299)*500/2)</f>
        <v>31547.660394482678</v>
      </c>
      <c r="Q300" s="179" t="s">
        <v>80</v>
      </c>
      <c r="R300" s="179"/>
      <c r="S300" s="180">
        <f>D298+H299+L300+P301</f>
        <v>125027.10996914007</v>
      </c>
      <c r="T300" s="180"/>
    </row>
    <row r="301" spans="1:20" x14ac:dyDescent="0.25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9" t="s">
        <v>79</v>
      </c>
      <c r="P301" s="89">
        <f>SUM(P296:P300)</f>
        <v>31921.212649073681</v>
      </c>
      <c r="Q301" s="179"/>
      <c r="R301" s="179"/>
      <c r="S301" s="180"/>
      <c r="T301" s="180"/>
    </row>
    <row r="302" spans="1:20" x14ac:dyDescent="0.25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</row>
    <row r="303" spans="1:20" x14ac:dyDescent="0.25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</row>
    <row r="304" spans="1:20" x14ac:dyDescent="0.25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</row>
    <row r="305" spans="1:34" ht="24.75" thickBot="1" x14ac:dyDescent="0.3">
      <c r="O305" s="131" t="s">
        <v>81</v>
      </c>
      <c r="P305" s="131"/>
      <c r="Q305" s="131">
        <f>(R291+P291+M292+S300)/AC284</f>
        <v>846.74499167878139</v>
      </c>
      <c r="R305" s="131"/>
    </row>
    <row r="306" spans="1:34" x14ac:dyDescent="0.25">
      <c r="A306" s="181" t="s">
        <v>112</v>
      </c>
      <c r="B306" s="182"/>
    </row>
    <row r="307" spans="1:34" ht="15.75" thickBot="1" x14ac:dyDescent="0.3">
      <c r="A307" s="183"/>
      <c r="B307" s="184"/>
    </row>
    <row r="308" spans="1:34" ht="21" x14ac:dyDescent="0.35">
      <c r="A308" s="185" t="s">
        <v>14</v>
      </c>
      <c r="B308" s="185"/>
      <c r="C308" s="165"/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O308" s="166" t="s">
        <v>72</v>
      </c>
      <c r="P308" s="166"/>
      <c r="Q308" s="166"/>
      <c r="R308" s="166"/>
      <c r="S308" s="166"/>
      <c r="T308" s="166"/>
      <c r="U308" s="166"/>
      <c r="V308" s="166"/>
    </row>
    <row r="309" spans="1:34" ht="36" x14ac:dyDescent="0.25">
      <c r="A309" s="4" t="s">
        <v>15</v>
      </c>
      <c r="B309" s="4" t="s">
        <v>16</v>
      </c>
      <c r="C309" s="4" t="s">
        <v>31</v>
      </c>
      <c r="D309" s="6" t="s">
        <v>17</v>
      </c>
      <c r="E309" s="6" t="s">
        <v>18</v>
      </c>
      <c r="F309" s="6" t="s">
        <v>19</v>
      </c>
      <c r="G309" s="6" t="s">
        <v>20</v>
      </c>
      <c r="H309" s="6" t="s">
        <v>21</v>
      </c>
      <c r="I309" s="6" t="s">
        <v>22</v>
      </c>
      <c r="J309" s="6" t="s">
        <v>23</v>
      </c>
      <c r="K309" s="6" t="s">
        <v>24</v>
      </c>
      <c r="L309" s="6" t="s">
        <v>25</v>
      </c>
      <c r="M309" s="6" t="s">
        <v>26</v>
      </c>
      <c r="N309" s="8"/>
      <c r="O309" s="167" t="s">
        <v>32</v>
      </c>
      <c r="P309" s="167" t="s">
        <v>35</v>
      </c>
      <c r="Q309" s="167" t="s">
        <v>66</v>
      </c>
      <c r="R309" s="99" t="s">
        <v>67</v>
      </c>
      <c r="S309" s="99" t="s">
        <v>68</v>
      </c>
      <c r="T309" s="167" t="s">
        <v>69</v>
      </c>
      <c r="U309" s="71" t="s">
        <v>33</v>
      </c>
      <c r="V309" s="99" t="s">
        <v>70</v>
      </c>
    </row>
    <row r="310" spans="1:34" x14ac:dyDescent="0.25">
      <c r="A310" s="3" t="s">
        <v>27</v>
      </c>
      <c r="B310" s="3">
        <v>0</v>
      </c>
      <c r="C310" s="3">
        <v>0.3</v>
      </c>
      <c r="D310" s="3">
        <v>243</v>
      </c>
      <c r="E310" s="3">
        <v>1.73</v>
      </c>
      <c r="F310" s="3">
        <v>5</v>
      </c>
      <c r="G310" s="169">
        <v>12</v>
      </c>
      <c r="H310" s="3">
        <v>1820</v>
      </c>
      <c r="I310" s="169">
        <v>19645</v>
      </c>
      <c r="J310" s="3">
        <v>20</v>
      </c>
      <c r="K310" s="3">
        <v>40</v>
      </c>
      <c r="L310" s="3">
        <v>500</v>
      </c>
      <c r="M310" s="3">
        <v>1000</v>
      </c>
      <c r="O310" s="168"/>
      <c r="P310" s="168"/>
      <c r="Q310" s="168"/>
      <c r="R310" s="72" t="s">
        <v>71</v>
      </c>
      <c r="S310" s="72" t="s">
        <v>71</v>
      </c>
      <c r="T310" s="168"/>
      <c r="U310" s="73">
        <v>500</v>
      </c>
      <c r="V310" s="3">
        <v>1.5</v>
      </c>
    </row>
    <row r="311" spans="1:34" x14ac:dyDescent="0.25">
      <c r="A311" s="3" t="s">
        <v>28</v>
      </c>
      <c r="B311" s="3">
        <v>0</v>
      </c>
      <c r="C311" s="3">
        <v>0.3</v>
      </c>
      <c r="D311" s="3">
        <v>254</v>
      </c>
      <c r="E311" s="3">
        <v>1.88</v>
      </c>
      <c r="F311" s="3">
        <v>3</v>
      </c>
      <c r="G311" s="170"/>
      <c r="H311" s="3">
        <v>2720</v>
      </c>
      <c r="I311" s="170"/>
      <c r="J311" s="5"/>
      <c r="K311" s="5"/>
      <c r="L311" s="5"/>
      <c r="M311" s="5"/>
      <c r="O311" s="74">
        <v>1</v>
      </c>
      <c r="P311" s="74">
        <v>106</v>
      </c>
      <c r="Q311" s="74">
        <v>110</v>
      </c>
      <c r="R311" s="74">
        <v>6</v>
      </c>
      <c r="S311" s="74">
        <v>5</v>
      </c>
      <c r="T311" s="74">
        <f>R311*$U$5/60+S311</f>
        <v>55</v>
      </c>
      <c r="U311" s="75"/>
    </row>
    <row r="312" spans="1:34" x14ac:dyDescent="0.25">
      <c r="A312" s="3" t="s">
        <v>29</v>
      </c>
      <c r="B312" s="3">
        <v>0</v>
      </c>
      <c r="C312" s="3">
        <v>0.3</v>
      </c>
      <c r="D312" s="3">
        <v>143</v>
      </c>
      <c r="E312" s="3">
        <v>2.4300000000000002</v>
      </c>
      <c r="F312" s="3">
        <v>8</v>
      </c>
      <c r="G312" s="170"/>
      <c r="H312" s="3">
        <v>3700</v>
      </c>
      <c r="I312" s="170"/>
      <c r="J312" s="5"/>
      <c r="K312" s="140" t="s">
        <v>73</v>
      </c>
      <c r="L312" s="141">
        <v>12</v>
      </c>
      <c r="M312" s="140" t="s">
        <v>74</v>
      </c>
      <c r="N312" s="141">
        <v>19645</v>
      </c>
      <c r="O312" s="74">
        <v>2</v>
      </c>
      <c r="P312" s="74">
        <v>76</v>
      </c>
      <c r="Q312" s="74">
        <v>40</v>
      </c>
      <c r="R312" s="74">
        <v>9</v>
      </c>
      <c r="S312" s="74">
        <v>2</v>
      </c>
      <c r="T312" s="74">
        <f t="shared" ref="T312:T314" si="32">R312*$U$5/60+S312</f>
        <v>77</v>
      </c>
      <c r="U312" s="75"/>
    </row>
    <row r="313" spans="1:34" x14ac:dyDescent="0.25">
      <c r="A313" s="3" t="s">
        <v>30</v>
      </c>
      <c r="B313" s="3">
        <v>0</v>
      </c>
      <c r="C313" s="3">
        <v>0.3</v>
      </c>
      <c r="D313" s="3">
        <v>449</v>
      </c>
      <c r="E313" s="3">
        <v>2.5299999999999998</v>
      </c>
      <c r="F313" s="3">
        <v>4</v>
      </c>
      <c r="G313" s="171"/>
      <c r="H313" s="3">
        <v>4320</v>
      </c>
      <c r="I313" s="171"/>
      <c r="J313" s="5"/>
      <c r="K313" s="140"/>
      <c r="L313" s="141"/>
      <c r="M313" s="140"/>
      <c r="N313" s="141"/>
      <c r="O313" s="74">
        <v>3</v>
      </c>
      <c r="P313" s="74">
        <v>95</v>
      </c>
      <c r="Q313" s="74">
        <v>67</v>
      </c>
      <c r="R313" s="74">
        <v>5</v>
      </c>
      <c r="S313" s="74">
        <v>4</v>
      </c>
      <c r="T313" s="74">
        <f t="shared" si="32"/>
        <v>45.666666666666664</v>
      </c>
      <c r="U313" s="75"/>
    </row>
    <row r="314" spans="1:34" ht="15.75" thickBo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O314" s="74">
        <v>4</v>
      </c>
      <c r="P314" s="74">
        <v>140</v>
      </c>
      <c r="Q314" s="94">
        <v>85</v>
      </c>
      <c r="R314" s="94">
        <v>8</v>
      </c>
      <c r="S314" s="94">
        <v>3</v>
      </c>
      <c r="T314" s="74">
        <f t="shared" si="32"/>
        <v>69.666666666666671</v>
      </c>
    </row>
    <row r="315" spans="1:34" ht="15" customHeight="1" x14ac:dyDescent="0.25">
      <c r="A315" s="142" t="s">
        <v>101</v>
      </c>
      <c r="B315" s="144" t="s">
        <v>107</v>
      </c>
      <c r="C315" s="144"/>
      <c r="D315" s="144"/>
      <c r="E315" s="144"/>
      <c r="F315" s="20" t="s">
        <v>27</v>
      </c>
      <c r="G315" s="20" t="s">
        <v>28</v>
      </c>
      <c r="H315" s="20" t="s">
        <v>29</v>
      </c>
      <c r="I315" s="20" t="s">
        <v>30</v>
      </c>
    </row>
    <row r="316" spans="1:34" ht="15.75" customHeight="1" thickBot="1" x14ac:dyDescent="0.3">
      <c r="A316" s="143"/>
      <c r="B316" s="145"/>
      <c r="C316" s="145"/>
      <c r="D316" s="145"/>
      <c r="E316" s="145"/>
      <c r="F316" s="20">
        <v>168</v>
      </c>
      <c r="G316" s="26">
        <v>84</v>
      </c>
      <c r="H316" s="26">
        <v>84</v>
      </c>
      <c r="I316" s="26">
        <v>252</v>
      </c>
    </row>
    <row r="317" spans="1:34" ht="15.75" customHeight="1" thickBot="1" x14ac:dyDescent="0.3">
      <c r="A317" s="143"/>
      <c r="B317" s="145"/>
      <c r="C317" s="145"/>
      <c r="D317" s="145"/>
      <c r="E317" s="145"/>
      <c r="F317" s="7"/>
      <c r="G317" s="146" t="s">
        <v>27</v>
      </c>
      <c r="H317" s="147"/>
      <c r="I317" s="147"/>
      <c r="J317" s="147"/>
      <c r="K317" s="148"/>
      <c r="L317" s="149" t="s">
        <v>28</v>
      </c>
      <c r="M317" s="150"/>
      <c r="N317" s="150"/>
      <c r="O317" s="150"/>
      <c r="P317" s="151"/>
      <c r="Q317" s="152" t="s">
        <v>29</v>
      </c>
      <c r="R317" s="153"/>
      <c r="S317" s="153"/>
      <c r="T317" s="153"/>
      <c r="U317" s="154"/>
      <c r="V317" s="155" t="s">
        <v>30</v>
      </c>
      <c r="W317" s="156"/>
      <c r="X317" s="156"/>
      <c r="Y317" s="156"/>
      <c r="Z317" s="157"/>
      <c r="AA317" s="158" t="s">
        <v>42</v>
      </c>
      <c r="AB317" s="159"/>
      <c r="AC317" s="160" t="s">
        <v>44</v>
      </c>
      <c r="AD317" s="162" t="s">
        <v>47</v>
      </c>
      <c r="AE317" s="163"/>
      <c r="AF317" s="163"/>
      <c r="AG317" s="164"/>
      <c r="AH317" s="138" t="s">
        <v>62</v>
      </c>
    </row>
    <row r="318" spans="1:34" ht="36.75" x14ac:dyDescent="0.25">
      <c r="A318" s="21" t="s">
        <v>32</v>
      </c>
      <c r="B318" s="22" t="s">
        <v>37</v>
      </c>
      <c r="C318" s="23" t="s">
        <v>33</v>
      </c>
      <c r="D318" s="22" t="s">
        <v>38</v>
      </c>
      <c r="E318" s="22" t="s">
        <v>34</v>
      </c>
      <c r="F318" s="25" t="s">
        <v>35</v>
      </c>
      <c r="G318" s="27" t="s">
        <v>39</v>
      </c>
      <c r="H318" s="10" t="s">
        <v>40</v>
      </c>
      <c r="I318" s="10" t="s">
        <v>45</v>
      </c>
      <c r="J318" s="10" t="s">
        <v>46</v>
      </c>
      <c r="K318" s="28" t="s">
        <v>41</v>
      </c>
      <c r="L318" s="30" t="s">
        <v>39</v>
      </c>
      <c r="M318" s="13" t="s">
        <v>40</v>
      </c>
      <c r="N318" s="13" t="s">
        <v>45</v>
      </c>
      <c r="O318" s="13" t="s">
        <v>46</v>
      </c>
      <c r="P318" s="31" t="s">
        <v>41</v>
      </c>
      <c r="Q318" s="33" t="s">
        <v>39</v>
      </c>
      <c r="R318" s="12" t="s">
        <v>40</v>
      </c>
      <c r="S318" s="12" t="s">
        <v>45</v>
      </c>
      <c r="T318" s="12" t="s">
        <v>46</v>
      </c>
      <c r="U318" s="34" t="s">
        <v>41</v>
      </c>
      <c r="V318" s="36" t="s">
        <v>39</v>
      </c>
      <c r="W318" s="11" t="s">
        <v>40</v>
      </c>
      <c r="X318" s="11" t="s">
        <v>45</v>
      </c>
      <c r="Y318" s="11" t="s">
        <v>46</v>
      </c>
      <c r="Z318" s="37" t="s">
        <v>41</v>
      </c>
      <c r="AA318" s="39" t="s">
        <v>41</v>
      </c>
      <c r="AB318" s="40" t="s">
        <v>43</v>
      </c>
      <c r="AC318" s="161"/>
      <c r="AD318" s="43" t="s">
        <v>27</v>
      </c>
      <c r="AE318" s="1" t="s">
        <v>28</v>
      </c>
      <c r="AF318" s="1" t="s">
        <v>29</v>
      </c>
      <c r="AG318" s="1" t="s">
        <v>30</v>
      </c>
      <c r="AH318" s="139"/>
    </row>
    <row r="319" spans="1:34" x14ac:dyDescent="0.25">
      <c r="A319" s="24">
        <v>1</v>
      </c>
      <c r="B319" s="9">
        <v>6</v>
      </c>
      <c r="C319" s="9">
        <v>500</v>
      </c>
      <c r="D319" s="9">
        <v>5</v>
      </c>
      <c r="E319" s="48">
        <f>B319*C319/60+D319</f>
        <v>55</v>
      </c>
      <c r="F319" s="100">
        <v>106</v>
      </c>
      <c r="G319" s="49">
        <f>B$5*(1-AD319*C$5)</f>
        <v>0</v>
      </c>
      <c r="H319" s="50">
        <f>G319+E319</f>
        <v>55</v>
      </c>
      <c r="I319" s="15">
        <f>(H319/D$5)^E$5</f>
        <v>7.6511831764011648E-2</v>
      </c>
      <c r="J319" s="15">
        <f>(G319/D$5)^E$5</f>
        <v>0</v>
      </c>
      <c r="K319" s="29">
        <f>1-EXP(J319-I319)</f>
        <v>7.3658046035411151E-2</v>
      </c>
      <c r="L319" s="51">
        <f>B$6*(1-AE319*C$6)</f>
        <v>0</v>
      </c>
      <c r="M319" s="52">
        <f>L319+E319</f>
        <v>55</v>
      </c>
      <c r="N319" s="17">
        <f>(M319/D$6)^E$6</f>
        <v>5.633709759436846E-2</v>
      </c>
      <c r="O319" s="17">
        <f>(L319/D$6)^E$6</f>
        <v>0</v>
      </c>
      <c r="P319" s="32">
        <f>1-EXP(O319-N319)</f>
        <v>5.4779549360660096E-2</v>
      </c>
      <c r="Q319" s="53">
        <f>B$7*(1-AF319*C$7)</f>
        <v>0</v>
      </c>
      <c r="R319" s="54">
        <f>Q319+E319</f>
        <v>55</v>
      </c>
      <c r="S319" s="16">
        <f>(R319/D$7)^E$7</f>
        <v>9.8087748172662498E-2</v>
      </c>
      <c r="T319" s="16">
        <f>(Q319/D$7)^E$7</f>
        <v>0</v>
      </c>
      <c r="U319" s="35">
        <f>1-EXP(T319-S319)</f>
        <v>9.3430649540250821E-2</v>
      </c>
      <c r="V319" s="55">
        <f>B$8*(1-AG319*C$8)</f>
        <v>0</v>
      </c>
      <c r="W319" s="56">
        <f>V319+E319</f>
        <v>55</v>
      </c>
      <c r="X319" s="18">
        <f>(W319/D$8)^E$8</f>
        <v>4.9309927237744132E-3</v>
      </c>
      <c r="Y319" s="18">
        <f>(V319/D$8)^E$8</f>
        <v>0</v>
      </c>
      <c r="Z319" s="38">
        <f>1-EXP(Y319-X319)</f>
        <v>4.9188553371368737E-3</v>
      </c>
      <c r="AA319" s="41">
        <f>K319*P319*U319*Z319</f>
        <v>1.8543515323034395E-6</v>
      </c>
      <c r="AB319" s="42">
        <f>1-AA319</f>
        <v>0.99999814564846767</v>
      </c>
      <c r="AC319" s="47">
        <f>(AD319*F$5+AE319*F$6+AF319*F$7+AG319*F$8)+E319</f>
        <v>55</v>
      </c>
      <c r="AD319" s="43">
        <v>0</v>
      </c>
      <c r="AE319" s="1">
        <v>0</v>
      </c>
      <c r="AF319" s="1">
        <v>0</v>
      </c>
      <c r="AG319" s="1">
        <v>0</v>
      </c>
      <c r="AH319" s="74">
        <v>110</v>
      </c>
    </row>
    <row r="320" spans="1:34" x14ac:dyDescent="0.25">
      <c r="A320" s="76">
        <v>2</v>
      </c>
      <c r="B320" s="58">
        <v>9</v>
      </c>
      <c r="C320" s="9">
        <v>500</v>
      </c>
      <c r="D320" s="58">
        <v>2</v>
      </c>
      <c r="E320" s="48">
        <f t="shared" ref="E320:E322" si="33">B320*C320/60+D320</f>
        <v>77</v>
      </c>
      <c r="F320" s="100">
        <v>76</v>
      </c>
      <c r="G320" s="49">
        <f>H319*(1-AD320*C$5)</f>
        <v>55</v>
      </c>
      <c r="H320" s="50">
        <f>G320+E320</f>
        <v>132</v>
      </c>
      <c r="I320" s="15">
        <f>(H320/D$5)^E$5</f>
        <v>0.34793173894508389</v>
      </c>
      <c r="J320" s="15">
        <f>(G320/D$5)^E$5</f>
        <v>7.6511831764011648E-2</v>
      </c>
      <c r="K320" s="29">
        <f>1-EXP(J320-I320)</f>
        <v>0.23770366451454039</v>
      </c>
      <c r="L320" s="51">
        <f>M319*(1-AE320*C$6)</f>
        <v>55</v>
      </c>
      <c r="M320" s="52">
        <f>L320+E320</f>
        <v>132</v>
      </c>
      <c r="N320" s="17">
        <f>(M320/D$6)^E$6</f>
        <v>0.29214038913862722</v>
      </c>
      <c r="O320" s="17">
        <f>(L320/D$6)^E$6</f>
        <v>5.633709759436846E-2</v>
      </c>
      <c r="P320" s="32">
        <f>1-EXP(O320-N320)</f>
        <v>0.21006395424947955</v>
      </c>
      <c r="Q320" s="53">
        <f>R319*(1-AF320*C$7)</f>
        <v>55</v>
      </c>
      <c r="R320" s="54">
        <f>Q320+E320</f>
        <v>132</v>
      </c>
      <c r="S320" s="16">
        <f>(R320/D$7)^E$7</f>
        <v>0.82324306668270808</v>
      </c>
      <c r="T320" s="16">
        <f>(Q320/D$7)^E$7</f>
        <v>9.8087748172662498E-2</v>
      </c>
      <c r="U320" s="35">
        <f>1-EXP(T320-S320)</f>
        <v>0.5157506497734845</v>
      </c>
      <c r="V320" s="55">
        <f>W319*(1-AG320*C$8)</f>
        <v>55</v>
      </c>
      <c r="W320" s="56">
        <f>V320+E320</f>
        <v>132</v>
      </c>
      <c r="X320" s="18">
        <f>(W320/D$8)^E$8</f>
        <v>4.5171946303006208E-2</v>
      </c>
      <c r="Y320" s="18">
        <f>(V320/D$8)^E$8</f>
        <v>4.9309927237744132E-3</v>
      </c>
      <c r="Z320" s="38">
        <f>1-EXP(Y320-X320)</f>
        <v>3.9442038613110686E-2</v>
      </c>
      <c r="AA320" s="41">
        <f>K320*P320*U320*Z320</f>
        <v>1.0157493454002661E-3</v>
      </c>
      <c r="AB320" s="42">
        <f>1-AA320</f>
        <v>0.99898425065459973</v>
      </c>
      <c r="AC320" s="47">
        <f>AF320*F$7+E320+AC319</f>
        <v>132</v>
      </c>
      <c r="AD320" s="43">
        <v>0</v>
      </c>
      <c r="AE320" s="1">
        <v>0</v>
      </c>
      <c r="AF320" s="1">
        <v>0</v>
      </c>
      <c r="AG320" s="1">
        <v>0</v>
      </c>
      <c r="AH320" s="74">
        <v>40</v>
      </c>
    </row>
    <row r="321" spans="1:34" x14ac:dyDescent="0.25">
      <c r="A321" s="24">
        <v>3</v>
      </c>
      <c r="B321" s="9">
        <v>5</v>
      </c>
      <c r="C321" s="58">
        <v>500</v>
      </c>
      <c r="D321" s="58">
        <v>4</v>
      </c>
      <c r="E321" s="48">
        <f t="shared" si="33"/>
        <v>45.666666666666664</v>
      </c>
      <c r="F321" s="100">
        <v>95</v>
      </c>
      <c r="G321" s="68">
        <f>H320*(1-AD321*C$5)</f>
        <v>132</v>
      </c>
      <c r="H321" s="69">
        <f>G321+E321</f>
        <v>177.66666666666666</v>
      </c>
      <c r="I321" s="70">
        <f>(H321/D$5)^E$5</f>
        <v>0.58172730301954589</v>
      </c>
      <c r="J321" s="70">
        <f>(G321/D$5)^E$5</f>
        <v>0.34793173894508389</v>
      </c>
      <c r="K321" s="29">
        <f>1-EXP(J321-I321)</f>
        <v>0.20847638478091435</v>
      </c>
      <c r="L321" s="51">
        <f>M320*(1-AE321*C$6)</f>
        <v>92.399999999999991</v>
      </c>
      <c r="M321" s="52">
        <f>L321+E321</f>
        <v>138.06666666666666</v>
      </c>
      <c r="N321" s="17">
        <f>(M321/D$6)^E$6</f>
        <v>0.31789202412323359</v>
      </c>
      <c r="O321" s="17">
        <f>(L321/D$6)^E$6</f>
        <v>0.14940871089337018</v>
      </c>
      <c r="P321" s="32">
        <f>1-EXP(O321-N321)</f>
        <v>0.15505463728965418</v>
      </c>
      <c r="Q321" s="53">
        <f>R320*(1-AF321*C$7)</f>
        <v>92.399999999999991</v>
      </c>
      <c r="R321" s="54">
        <f>Q321+E321</f>
        <v>138.06666666666666</v>
      </c>
      <c r="S321" s="16">
        <f>(R321/D$7)^E$7</f>
        <v>0.91822541626396692</v>
      </c>
      <c r="T321" s="16">
        <f>(Q321/D$7)^E$7</f>
        <v>0.34603204471909926</v>
      </c>
      <c r="U321" s="35">
        <f>1-EXP(T321-S321)</f>
        <v>0.43571360936248182</v>
      </c>
      <c r="V321" s="55">
        <f>W320*(1-AG321*C$8)</f>
        <v>132</v>
      </c>
      <c r="W321" s="56">
        <f>V321+E321</f>
        <v>177.66666666666666</v>
      </c>
      <c r="X321" s="18">
        <f>(W321/D$8)^E$8</f>
        <v>9.5789922449281015E-2</v>
      </c>
      <c r="Y321" s="18">
        <f>(V321/D$8)^E$8</f>
        <v>4.5171946303006208E-2</v>
      </c>
      <c r="Z321" s="38">
        <f>1-EXP(Y321-X321)</f>
        <v>4.9358230996020658E-2</v>
      </c>
      <c r="AA321" s="41">
        <f>K321*P321*U321*Z321</f>
        <v>6.9518811379223455E-4</v>
      </c>
      <c r="AB321" s="42">
        <f>1-AA321</f>
        <v>0.99930481188620779</v>
      </c>
      <c r="AC321" s="47">
        <f>(AF321*F$7)+E321+AC320</f>
        <v>185.66666666666666</v>
      </c>
      <c r="AD321" s="77">
        <v>0</v>
      </c>
      <c r="AE321" s="78">
        <v>1</v>
      </c>
      <c r="AF321" s="78">
        <v>1</v>
      </c>
      <c r="AG321" s="78">
        <v>0</v>
      </c>
      <c r="AH321" s="74">
        <v>67</v>
      </c>
    </row>
    <row r="322" spans="1:34" ht="15.75" thickBot="1" x14ac:dyDescent="0.3">
      <c r="A322" s="57">
        <v>4</v>
      </c>
      <c r="B322" s="58">
        <v>8</v>
      </c>
      <c r="C322" s="58">
        <v>500</v>
      </c>
      <c r="D322" s="9">
        <v>3</v>
      </c>
      <c r="E322" s="48">
        <f t="shared" si="33"/>
        <v>69.666666666666671</v>
      </c>
      <c r="F322" s="100">
        <v>140</v>
      </c>
      <c r="G322" s="68">
        <f>H321*(1-AD322*C$5)</f>
        <v>124.36666666666665</v>
      </c>
      <c r="H322" s="69">
        <f>G322+E322</f>
        <v>194.0333333333333</v>
      </c>
      <c r="I322" s="70">
        <f>(H322/D$5)^E$5</f>
        <v>0.67752796083510003</v>
      </c>
      <c r="J322" s="70">
        <f>(G322/D$5)^E$5</f>
        <v>0.31386223054487455</v>
      </c>
      <c r="K322" s="29">
        <f>1-EXP(J322-I322)</f>
        <v>0.30487648535250744</v>
      </c>
      <c r="L322" s="51">
        <f>M321*(1-AE322*C$6)</f>
        <v>96.646666666666661</v>
      </c>
      <c r="M322" s="52">
        <f>L322+E322</f>
        <v>166.31333333333333</v>
      </c>
      <c r="N322" s="17">
        <f>(M322/D$6)^E$6</f>
        <v>0.45108200336097515</v>
      </c>
      <c r="O322" s="17">
        <f>(L322/D$6)^E$6</f>
        <v>0.16257881242500377</v>
      </c>
      <c r="P322" s="32">
        <f>1-EXP(O322-N322)</f>
        <v>0.25061558609399515</v>
      </c>
      <c r="Q322" s="53">
        <f>R321*(1-AF322*C$7)</f>
        <v>96.646666666666661</v>
      </c>
      <c r="R322" s="54">
        <f>Q322+E322</f>
        <v>166.31333333333333</v>
      </c>
      <c r="S322" s="16">
        <f>(R322/D$7)^E$7</f>
        <v>1.443398348879422</v>
      </c>
      <c r="T322" s="16">
        <f>(Q322/D$7)^E$7</f>
        <v>0.3859557780221517</v>
      </c>
      <c r="U322" s="35">
        <f>1-EXP(T322-S322)</f>
        <v>0.65265701953009181</v>
      </c>
      <c r="V322" s="55">
        <f>W321*(1-AG322*C$8)</f>
        <v>177.66666666666666</v>
      </c>
      <c r="W322" s="56">
        <f>V322+E322</f>
        <v>247.33333333333331</v>
      </c>
      <c r="X322" s="18">
        <f>(W322/D$8)^E$8</f>
        <v>0.221218713919872</v>
      </c>
      <c r="Y322" s="18">
        <f>(V322/D$8)^E$8</f>
        <v>9.5789922449281015E-2</v>
      </c>
      <c r="Z322" s="38">
        <f>1-EXP(Y322-X322)</f>
        <v>0.11788142344277242</v>
      </c>
      <c r="AA322" s="41">
        <f>K322*P322*U322*Z322</f>
        <v>5.8784440736788278E-3</v>
      </c>
      <c r="AB322" s="42">
        <f>1-AA322</f>
        <v>0.99412155592632112</v>
      </c>
      <c r="AC322" s="47">
        <f>(AF322*F$7)+E322+AC321</f>
        <v>263.33333333333331</v>
      </c>
      <c r="AD322" s="80">
        <v>1</v>
      </c>
      <c r="AE322" s="45">
        <v>1</v>
      </c>
      <c r="AF322" s="81">
        <v>1</v>
      </c>
      <c r="AG322" s="45">
        <v>0</v>
      </c>
      <c r="AH322" s="94">
        <v>85</v>
      </c>
    </row>
    <row r="323" spans="1:34" ht="18.75" x14ac:dyDescent="0.3">
      <c r="A323" s="132" t="s">
        <v>114</v>
      </c>
      <c r="B323" s="132"/>
      <c r="C323" s="132"/>
      <c r="D323" s="132"/>
      <c r="E323" s="132"/>
      <c r="F323" s="132"/>
      <c r="G323" s="132"/>
      <c r="H323" s="132"/>
      <c r="I323" s="132"/>
      <c r="J323" s="132"/>
      <c r="AG323" s="46"/>
    </row>
    <row r="324" spans="1:34" ht="15.75" x14ac:dyDescent="0.25">
      <c r="A324" s="19" t="s">
        <v>58</v>
      </c>
      <c r="B324" s="60" t="s">
        <v>49</v>
      </c>
      <c r="C324" s="61" t="s">
        <v>50</v>
      </c>
      <c r="D324" s="19" t="s">
        <v>48</v>
      </c>
      <c r="E324" s="60" t="s">
        <v>57</v>
      </c>
      <c r="F324" s="61" t="s">
        <v>50</v>
      </c>
      <c r="G324" s="19" t="s">
        <v>54</v>
      </c>
      <c r="H324" s="60" t="s">
        <v>61</v>
      </c>
      <c r="I324" s="61" t="s">
        <v>50</v>
      </c>
      <c r="J324" s="19" t="s">
        <v>82</v>
      </c>
      <c r="K324" s="83" t="s">
        <v>84</v>
      </c>
      <c r="L324" s="61" t="s">
        <v>50</v>
      </c>
      <c r="M324" s="61" t="s">
        <v>85</v>
      </c>
      <c r="O324" s="174" t="s">
        <v>64</v>
      </c>
      <c r="P324" s="174"/>
      <c r="Q324" s="175" t="s">
        <v>109</v>
      </c>
      <c r="R324" s="175"/>
    </row>
    <row r="325" spans="1:34" ht="24.75" x14ac:dyDescent="0.25">
      <c r="A325" s="61" t="s">
        <v>51</v>
      </c>
      <c r="B325" s="1">
        <f>AA319</f>
        <v>1.8543515323034395E-6</v>
      </c>
      <c r="C325" s="59">
        <f>MAX(AC319+1*L312-F319,0)</f>
        <v>0</v>
      </c>
      <c r="D325" s="62" t="s">
        <v>55</v>
      </c>
      <c r="E325" s="1">
        <f>AA319*AA320</f>
        <v>1.8835563550791993E-9</v>
      </c>
      <c r="F325" s="1">
        <f>MAX(AC320+2*L312-F320,0)</f>
        <v>80</v>
      </c>
      <c r="G325" s="62" t="s">
        <v>59</v>
      </c>
      <c r="H325" s="1">
        <f>AA319*AA320*AA321</f>
        <v>1.309425989708885E-12</v>
      </c>
      <c r="I325" s="1">
        <f>AC321+3*L312-F321</f>
        <v>126.66666666666666</v>
      </c>
      <c r="J325" s="62" t="s">
        <v>83</v>
      </c>
      <c r="K325" s="1">
        <f>AA319*AA320*AA321*AA322</f>
        <v>7.6973874491252289E-15</v>
      </c>
      <c r="L325" s="1">
        <f>AC322+4*L312-F322</f>
        <v>171.33333333333331</v>
      </c>
      <c r="M325" s="1">
        <f>B325*C325*AH319+E325*F325*AH320+H325*I325*AH321+K325*L325*AH322</f>
        <v>6.0386050977719844E-6</v>
      </c>
      <c r="O325" s="1" t="s">
        <v>27</v>
      </c>
      <c r="P325" s="1">
        <f>H310</f>
        <v>1820</v>
      </c>
      <c r="Q325" s="1">
        <f>(K319*(1-P319)*(1-U319)*(1-Z319))+(P319*(1-K319)*(1-U319)*(1-Z319))+(U319*(1-K319)*(1-P319)*(1-Z319))+(Z319*(1-K319)*(1-P319)*(1-U319))</f>
        <v>0.19389466846386108</v>
      </c>
      <c r="R325" s="1">
        <f>Q325*(L$7*(J$5*K$5+L$5)+I$5)</f>
        <v>6833.8175900087836</v>
      </c>
    </row>
    <row r="326" spans="1:34" ht="24.75" x14ac:dyDescent="0.25">
      <c r="A326" s="62" t="s">
        <v>52</v>
      </c>
      <c r="B326" s="1">
        <f>AB319</f>
        <v>0.99999814564846767</v>
      </c>
      <c r="C326" s="59">
        <f>MAX(AC319-F319,0)</f>
        <v>0</v>
      </c>
      <c r="D326" s="62" t="s">
        <v>56</v>
      </c>
      <c r="E326" s="1">
        <f>AA319*AB320+AA320*AB319</f>
        <v>1.0175999298198595E-3</v>
      </c>
      <c r="F326" s="1">
        <f>MAX(AC320+1*L312-F320,0)</f>
        <v>68</v>
      </c>
      <c r="G326" s="62" t="s">
        <v>60</v>
      </c>
      <c r="H326" s="1">
        <f>AA319*AA320*AB321+AA320*AA321*AB319+AA319*AA321*AB320</f>
        <v>7.093056227356678E-7</v>
      </c>
      <c r="I326" s="1">
        <f>AC321+2*L312-F321</f>
        <v>114.66666666666666</v>
      </c>
      <c r="J326" s="62" t="s">
        <v>59</v>
      </c>
      <c r="K326">
        <f>AB319*AA320*AA321*AA322+AB320*AA319*AA321*AA322*+AB321*AA319*AA320*AA322+AB322*AA319*AA320*AA321</f>
        <v>4.1522801387754615E-9</v>
      </c>
      <c r="L326" s="1">
        <f>AC322+3*L312-F322</f>
        <v>159.33333333333331</v>
      </c>
      <c r="M326" s="1">
        <f>B326*C326*AH319+E326*F326*AH320+H326*I326*AH321+K326*L326*AH322</f>
        <v>2.7733774034883019</v>
      </c>
      <c r="O326" s="1" t="s">
        <v>28</v>
      </c>
      <c r="P326" s="1">
        <f>2*H311</f>
        <v>5440</v>
      </c>
      <c r="Q326" s="1">
        <f t="shared" ref="Q326:Q328" si="34">(K320*(1-P320)*(1-U320)*(1-Z320))+(P320*(1-K320)*(1-U320)*(1-Z320))+(U320*(1-K320)*(1-P320)*(1-Z320))+(Z320*(1-K320)*(1-P320)*(1-U320))</f>
        <v>0.47164531059336612</v>
      </c>
      <c r="R326" s="1">
        <f t="shared" ref="R326:R328" si="35">Q326*(L$7*(J$5*K$5+L$5)+I$5)</f>
        <v>16623.138971863187</v>
      </c>
    </row>
    <row r="327" spans="1:34" ht="24.75" x14ac:dyDescent="0.25">
      <c r="A327" s="1"/>
      <c r="B327" s="1"/>
      <c r="C327" s="1"/>
      <c r="D327" s="62" t="s">
        <v>52</v>
      </c>
      <c r="E327" s="1">
        <f>AB319*AB320</f>
        <v>0.99898239818662371</v>
      </c>
      <c r="F327" s="59">
        <f>MAX(AC320-F320,0)</f>
        <v>56</v>
      </c>
      <c r="G327" s="62" t="s">
        <v>56</v>
      </c>
      <c r="H327" s="1">
        <f>AA319*AB320*AB321+AA320*AB319*AB321*+AA321*AB319*AB320</f>
        <v>2.5561067619785859E-6</v>
      </c>
      <c r="I327" s="1">
        <f>AC321+1*L312-F321</f>
        <v>102.66666666666666</v>
      </c>
      <c r="J327" s="62" t="s">
        <v>60</v>
      </c>
      <c r="K327" s="1">
        <f>AA319*AA320*AB321*AB322 + AA319*AA321*AB320*AB322 + AA319*AA322*AB320*AB321 + AA320*AA321*AB319*AB322 + AA320*AA322*AB319*AB321 + AA321*AA322*AB319*AB320</f>
        <v>1.0765347628541166E-5</v>
      </c>
      <c r="L327" s="1">
        <f>AC322+2*L312-F322</f>
        <v>147.33333333333331</v>
      </c>
      <c r="M327" s="1">
        <f>B327*C327*AH319+E327*F327*AH320+H327*I327*AH321+K327*L327*AH322</f>
        <v>2237.8729725812186</v>
      </c>
      <c r="O327" s="1" t="s">
        <v>29</v>
      </c>
      <c r="P327" s="1">
        <f>2*(F312*(J310*K310+L310)+H312)</f>
        <v>28200</v>
      </c>
      <c r="Q327" s="1">
        <f t="shared" si="34"/>
        <v>0.45597674876540167</v>
      </c>
      <c r="R327" s="1">
        <f t="shared" si="35"/>
        <v>16070.900510236583</v>
      </c>
    </row>
    <row r="328" spans="1:34" ht="24.75" x14ac:dyDescent="0.25">
      <c r="A328" s="1"/>
      <c r="B328" s="1"/>
      <c r="C328" s="1"/>
      <c r="D328" s="1"/>
      <c r="E328" s="1"/>
      <c r="F328" s="1"/>
      <c r="G328" s="62" t="s">
        <v>52</v>
      </c>
      <c r="H328" s="1">
        <f>AB319*AB320*AB321</f>
        <v>0.99828791749751677</v>
      </c>
      <c r="I328" s="63">
        <f>AC321-F321</f>
        <v>90.666666666666657</v>
      </c>
      <c r="J328" s="62" t="s">
        <v>56</v>
      </c>
      <c r="K328" s="1">
        <f>AA319*AB320*AB321*AB322+AA320*AB319*AB321*AB322+AA321*AB319*AB320*AB322+AA322*AB319*AB320*AB321</f>
        <v>7.5696926763702717E-3</v>
      </c>
      <c r="L328" s="1">
        <f>AC322+1*L312-F322</f>
        <v>135.33333333333331</v>
      </c>
      <c r="M328" s="1">
        <f>B328*C328*AH319+E328*F328*AH320+H328*I328*AH321+K328*L328*AH322</f>
        <v>6151.3430342454276</v>
      </c>
      <c r="O328" s="1" t="s">
        <v>30</v>
      </c>
      <c r="P328" s="1">
        <v>0</v>
      </c>
      <c r="Q328" s="1">
        <f t="shared" si="34"/>
        <v>0.44461024415327632</v>
      </c>
      <c r="R328" s="1">
        <f t="shared" si="35"/>
        <v>15670.288055182224</v>
      </c>
    </row>
    <row r="329" spans="1:34" ht="30" x14ac:dyDescent="0.25">
      <c r="I329" s="84"/>
      <c r="J329" s="62" t="s">
        <v>52</v>
      </c>
      <c r="K329" s="85">
        <f>AB319*AB320*AB321*AB322</f>
        <v>0.9924195378050783</v>
      </c>
      <c r="L329" s="1">
        <f>AC322+0*L312-F322</f>
        <v>123.33333333333331</v>
      </c>
      <c r="M329" s="1">
        <f>B329*C329*AH319+E329*F329*AH320+H329*I329*AH321+K329*L329*AH322</f>
        <v>10403.864821323235</v>
      </c>
      <c r="O329" s="64" t="s">
        <v>65</v>
      </c>
      <c r="P329" s="65">
        <f>SUM(P325:P328)</f>
        <v>35460</v>
      </c>
      <c r="Q329" s="96" t="s">
        <v>108</v>
      </c>
      <c r="R329" s="97">
        <f>SUM(R325:R328)</f>
        <v>55198.14512729078</v>
      </c>
    </row>
    <row r="330" spans="1:34" x14ac:dyDescent="0.25">
      <c r="L330" s="176" t="s">
        <v>63</v>
      </c>
      <c r="M330" s="177">
        <f>SUM(M325:M329)</f>
        <v>18795.854211591977</v>
      </c>
    </row>
    <row r="331" spans="1:34" x14ac:dyDescent="0.25">
      <c r="L331" s="176"/>
      <c r="M331" s="177"/>
    </row>
    <row r="332" spans="1:34" x14ac:dyDescent="0.25">
      <c r="A332" s="178" t="s">
        <v>90</v>
      </c>
      <c r="B332" s="178"/>
      <c r="C332" s="178"/>
      <c r="D332" s="178"/>
      <c r="E332" s="178"/>
      <c r="F332" s="178"/>
      <c r="G332" s="178"/>
      <c r="H332" s="178"/>
      <c r="I332" s="178"/>
      <c r="J332" s="178"/>
      <c r="K332" s="178"/>
      <c r="L332" s="178"/>
      <c r="M332" s="178"/>
      <c r="N332" s="178"/>
    </row>
    <row r="333" spans="1:34" ht="15.75" x14ac:dyDescent="0.25">
      <c r="A333" s="87" t="s">
        <v>77</v>
      </c>
      <c r="B333" s="62" t="s">
        <v>49</v>
      </c>
      <c r="C333" s="90" t="s">
        <v>78</v>
      </c>
      <c r="D333" s="62" t="s">
        <v>88</v>
      </c>
      <c r="E333" s="87" t="s">
        <v>75</v>
      </c>
      <c r="F333" s="62" t="s">
        <v>57</v>
      </c>
      <c r="G333" s="90" t="s">
        <v>87</v>
      </c>
      <c r="H333" s="62" t="s">
        <v>88</v>
      </c>
      <c r="I333" s="87" t="s">
        <v>76</v>
      </c>
      <c r="J333" s="62" t="s">
        <v>61</v>
      </c>
      <c r="K333" s="90" t="s">
        <v>102</v>
      </c>
      <c r="L333" s="62" t="s">
        <v>88</v>
      </c>
      <c r="M333" s="87" t="s">
        <v>86</v>
      </c>
      <c r="N333" s="62" t="s">
        <v>84</v>
      </c>
      <c r="O333" s="90" t="s">
        <v>103</v>
      </c>
      <c r="P333" s="62" t="s">
        <v>88</v>
      </c>
    </row>
    <row r="334" spans="1:34" ht="24.75" x14ac:dyDescent="0.25">
      <c r="A334" s="62" t="s">
        <v>51</v>
      </c>
      <c r="B334" s="86">
        <v>1.8543515323034395E-6</v>
      </c>
      <c r="C334" s="86">
        <f>AC319+1*L312</f>
        <v>67</v>
      </c>
      <c r="D334" s="86">
        <f>MAX(B334*1.5*((C334-F319)*500/2),0)</f>
        <v>0</v>
      </c>
      <c r="E334" s="62" t="s">
        <v>55</v>
      </c>
      <c r="F334" s="86">
        <v>1.8835563550791993E-9</v>
      </c>
      <c r="G334" s="86">
        <f>AC320+2*L312</f>
        <v>156</v>
      </c>
      <c r="H334" s="86">
        <f>F334*1.5*((G334-F320)*500/2+(G334-F321)*500+(G334-F322)*500)</f>
        <v>1.6528207015819975E-4</v>
      </c>
      <c r="I334" s="62" t="s">
        <v>59</v>
      </c>
      <c r="J334" s="86">
        <v>1.309425989708885E-12</v>
      </c>
      <c r="K334" s="86">
        <f>AC321+3*L312</f>
        <v>221.66666666666666</v>
      </c>
      <c r="L334" s="86">
        <f>J334*1.5*((K334-G334)*500/2+(K334-G334)*500)</f>
        <v>9.6733844989743865E-8</v>
      </c>
      <c r="M334" s="62" t="s">
        <v>83</v>
      </c>
      <c r="N334" s="86">
        <v>7.6973874491252289E-15</v>
      </c>
      <c r="O334" s="86">
        <f>AC322+4*L312</f>
        <v>311.33333333333331</v>
      </c>
      <c r="P334" s="86">
        <f>N334*1.5*((O334-K334)*500/2)</f>
        <v>2.588246529768358E-10</v>
      </c>
    </row>
    <row r="335" spans="1:34" ht="24.75" x14ac:dyDescent="0.25">
      <c r="A335" s="62" t="s">
        <v>52</v>
      </c>
      <c r="B335" s="86">
        <v>0.99999814564846767</v>
      </c>
      <c r="C335" s="88">
        <f>AC319</f>
        <v>55</v>
      </c>
      <c r="D335" s="86">
        <f>MAX(B335*1.5*((C335-F319)*500/2),0)</f>
        <v>0</v>
      </c>
      <c r="E335" s="62" t="s">
        <v>56</v>
      </c>
      <c r="F335" s="86">
        <v>1.0175999298198595E-3</v>
      </c>
      <c r="G335" s="86">
        <f>AC320+1*L312</f>
        <v>144</v>
      </c>
      <c r="H335" s="86">
        <f>F335*1.5*((G335-F320)*500/2+(G335-F321)*500+(G335-F322)*500)</f>
        <v>66.398395420745828</v>
      </c>
      <c r="I335" s="62" t="s">
        <v>60</v>
      </c>
      <c r="J335" s="86">
        <v>7.093056227356678E-7</v>
      </c>
      <c r="K335" s="86">
        <f>AC321+2*L312</f>
        <v>209.66666666666666</v>
      </c>
      <c r="L335" s="86">
        <f>J335*1.5*((K335-G335)*500/2+(K335-G335)*500)</f>
        <v>5.2399952879597443E-2</v>
      </c>
      <c r="M335" s="62" t="s">
        <v>59</v>
      </c>
      <c r="N335" s="86">
        <v>4.1522801387754615E-9</v>
      </c>
      <c r="O335" s="86">
        <f>AC322+3*L312</f>
        <v>299.33333333333331</v>
      </c>
      <c r="P335" s="86">
        <f>N335*1.5*((O335-K335)*500/2)</f>
        <v>1.3962041966632488E-4</v>
      </c>
    </row>
    <row r="336" spans="1:34" x14ac:dyDescent="0.25">
      <c r="A336" s="86"/>
      <c r="B336" s="86"/>
      <c r="C336" s="89" t="s">
        <v>89</v>
      </c>
      <c r="D336" s="89">
        <f>SUM(D334:D335)</f>
        <v>0</v>
      </c>
      <c r="E336" s="62" t="s">
        <v>52</v>
      </c>
      <c r="F336" s="86">
        <v>0.99898239818662371</v>
      </c>
      <c r="G336" s="86">
        <f>AC320+0*L312</f>
        <v>132</v>
      </c>
      <c r="H336" s="86">
        <f>F336*1.5*((G336-F320)*500/2+(G336-F321)*500)</f>
        <v>48700.391911597901</v>
      </c>
      <c r="I336" s="62" t="s">
        <v>56</v>
      </c>
      <c r="J336" s="86">
        <v>2.5561067619785859E-6</v>
      </c>
      <c r="K336" s="86">
        <f>AC321+1*L312</f>
        <v>197.66666666666666</v>
      </c>
      <c r="L336" s="86">
        <f>J336*1.5*((K336-G336)*500/2+(K336-F322)*500)</f>
        <v>0.1734957464692965</v>
      </c>
      <c r="M336" s="62" t="s">
        <v>60</v>
      </c>
      <c r="N336" s="86">
        <v>1.0765347628541166E-5</v>
      </c>
      <c r="O336" s="86">
        <f>AC322+2*L312</f>
        <v>287.33333333333331</v>
      </c>
      <c r="P336" s="86">
        <f>N336*1.5*((O336-K336)*500/2)</f>
        <v>0.36198481400969662</v>
      </c>
    </row>
    <row r="337" spans="1:22" x14ac:dyDescent="0.25">
      <c r="A337" s="86"/>
      <c r="B337" s="86"/>
      <c r="C337" s="86"/>
      <c r="D337" s="86"/>
      <c r="E337" s="86"/>
      <c r="F337" s="86"/>
      <c r="G337" s="89" t="s">
        <v>79</v>
      </c>
      <c r="H337" s="89">
        <f>SUM(H334:H336)</f>
        <v>48766.790472300716</v>
      </c>
      <c r="I337" s="62" t="s">
        <v>52</v>
      </c>
      <c r="J337" s="86">
        <v>0.99828791749751677</v>
      </c>
      <c r="K337" s="86">
        <f>AC321+0*L312</f>
        <v>185.66666666666666</v>
      </c>
      <c r="L337" s="86">
        <f>J337*1.5*((K337-G336)*500/2+(K337-F322)*500)</f>
        <v>54281.905513927464</v>
      </c>
      <c r="M337" s="62" t="s">
        <v>56</v>
      </c>
      <c r="N337" s="86">
        <v>7.5696926763702717E-3</v>
      </c>
      <c r="O337" s="86">
        <f>AC322+1*L312</f>
        <v>275.33333333333331</v>
      </c>
      <c r="P337" s="86">
        <f>N337*1.5*((O337-K337)*500/2)</f>
        <v>254.53091624295035</v>
      </c>
    </row>
    <row r="338" spans="1:22" x14ac:dyDescent="0.25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9" t="s">
        <v>79</v>
      </c>
      <c r="L338" s="89">
        <f>SUM(L334:L337)</f>
        <v>54282.131409723544</v>
      </c>
      <c r="M338" s="62" t="s">
        <v>52</v>
      </c>
      <c r="N338" s="86">
        <v>0.9924195378050783</v>
      </c>
      <c r="O338" s="86">
        <f>AC322+0*L312</f>
        <v>263.33333333333331</v>
      </c>
      <c r="P338" s="86">
        <f>N338*1.5*((O338-K337)*500/2)</f>
        <v>28904.219038572905</v>
      </c>
      <c r="Q338" s="179" t="s">
        <v>80</v>
      </c>
      <c r="R338" s="179"/>
      <c r="S338" s="180">
        <f>D336+H337+L338+P339</f>
        <v>132208.03396127481</v>
      </c>
      <c r="T338" s="180"/>
    </row>
    <row r="339" spans="1:22" x14ac:dyDescent="0.25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9" t="s">
        <v>79</v>
      </c>
      <c r="P339" s="89">
        <f>SUM(P334:P338)</f>
        <v>29159.112079250543</v>
      </c>
      <c r="Q339" s="179"/>
      <c r="R339" s="179"/>
      <c r="S339" s="180"/>
      <c r="T339" s="180"/>
    </row>
    <row r="340" spans="1:22" x14ac:dyDescent="0.25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</row>
    <row r="341" spans="1:22" x14ac:dyDescent="0.25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</row>
    <row r="342" spans="1:22" x14ac:dyDescent="0.25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</row>
    <row r="343" spans="1:22" ht="24.75" thickBot="1" x14ac:dyDescent="0.3">
      <c r="O343" s="131" t="s">
        <v>81</v>
      </c>
      <c r="P343" s="131"/>
      <c r="Q343" s="131">
        <f>(R329+P329+M330+S338)/AC322</f>
        <v>917.70392392464896</v>
      </c>
      <c r="R343" s="131"/>
    </row>
    <row r="344" spans="1:22" x14ac:dyDescent="0.25">
      <c r="A344" s="181" t="s">
        <v>113</v>
      </c>
      <c r="B344" s="182"/>
    </row>
    <row r="345" spans="1:22" ht="15.75" thickBot="1" x14ac:dyDescent="0.3">
      <c r="A345" s="183"/>
      <c r="B345" s="184"/>
    </row>
    <row r="346" spans="1:22" ht="21" x14ac:dyDescent="0.35">
      <c r="A346" s="185" t="s">
        <v>14</v>
      </c>
      <c r="B346" s="185"/>
      <c r="C346" s="165"/>
      <c r="D346" s="165"/>
      <c r="E346" s="165"/>
      <c r="F346" s="165"/>
      <c r="G346" s="165"/>
      <c r="H346" s="165"/>
      <c r="I346" s="165"/>
      <c r="J346" s="165"/>
      <c r="K346" s="165"/>
      <c r="L346" s="165"/>
      <c r="M346" s="165"/>
      <c r="O346" s="166" t="s">
        <v>72</v>
      </c>
      <c r="P346" s="166"/>
      <c r="Q346" s="166"/>
      <c r="R346" s="166"/>
      <c r="S346" s="166"/>
      <c r="T346" s="166"/>
      <c r="U346" s="166"/>
      <c r="V346" s="166"/>
    </row>
    <row r="347" spans="1:22" ht="36" x14ac:dyDescent="0.25">
      <c r="A347" s="4" t="s">
        <v>15</v>
      </c>
      <c r="B347" s="4" t="s">
        <v>16</v>
      </c>
      <c r="C347" s="4" t="s">
        <v>31</v>
      </c>
      <c r="D347" s="6" t="s">
        <v>17</v>
      </c>
      <c r="E347" s="6" t="s">
        <v>18</v>
      </c>
      <c r="F347" s="6" t="s">
        <v>19</v>
      </c>
      <c r="G347" s="6" t="s">
        <v>20</v>
      </c>
      <c r="H347" s="6" t="s">
        <v>21</v>
      </c>
      <c r="I347" s="6" t="s">
        <v>22</v>
      </c>
      <c r="J347" s="6" t="s">
        <v>23</v>
      </c>
      <c r="K347" s="6" t="s">
        <v>24</v>
      </c>
      <c r="L347" s="6" t="s">
        <v>25</v>
      </c>
      <c r="M347" s="6" t="s">
        <v>26</v>
      </c>
      <c r="N347" s="8"/>
      <c r="O347" s="167" t="s">
        <v>32</v>
      </c>
      <c r="P347" s="167" t="s">
        <v>35</v>
      </c>
      <c r="Q347" s="167" t="s">
        <v>66</v>
      </c>
      <c r="R347" s="99" t="s">
        <v>67</v>
      </c>
      <c r="S347" s="99" t="s">
        <v>68</v>
      </c>
      <c r="T347" s="167" t="s">
        <v>69</v>
      </c>
      <c r="U347" s="71" t="s">
        <v>33</v>
      </c>
      <c r="V347" s="99" t="s">
        <v>70</v>
      </c>
    </row>
    <row r="348" spans="1:22" x14ac:dyDescent="0.25">
      <c r="A348" s="3" t="s">
        <v>27</v>
      </c>
      <c r="B348" s="3">
        <v>0</v>
      </c>
      <c r="C348" s="3">
        <v>0.3</v>
      </c>
      <c r="D348" s="3">
        <v>243</v>
      </c>
      <c r="E348" s="3">
        <v>1.73</v>
      </c>
      <c r="F348" s="3">
        <v>5</v>
      </c>
      <c r="G348" s="169">
        <v>12</v>
      </c>
      <c r="H348" s="3">
        <v>1820</v>
      </c>
      <c r="I348" s="169">
        <v>19645</v>
      </c>
      <c r="J348" s="3">
        <v>20</v>
      </c>
      <c r="K348" s="3">
        <v>40</v>
      </c>
      <c r="L348" s="3">
        <v>500</v>
      </c>
      <c r="M348" s="3">
        <v>1000</v>
      </c>
      <c r="O348" s="168"/>
      <c r="P348" s="168"/>
      <c r="Q348" s="168"/>
      <c r="R348" s="72" t="s">
        <v>71</v>
      </c>
      <c r="S348" s="72" t="s">
        <v>71</v>
      </c>
      <c r="T348" s="168"/>
      <c r="U348" s="73">
        <v>500</v>
      </c>
      <c r="V348" s="3">
        <v>1.5</v>
      </c>
    </row>
    <row r="349" spans="1:22" x14ac:dyDescent="0.25">
      <c r="A349" s="3" t="s">
        <v>28</v>
      </c>
      <c r="B349" s="3">
        <v>0</v>
      </c>
      <c r="C349" s="3">
        <v>0.3</v>
      </c>
      <c r="D349" s="3">
        <v>254</v>
      </c>
      <c r="E349" s="3">
        <v>1.88</v>
      </c>
      <c r="F349" s="3">
        <v>3</v>
      </c>
      <c r="G349" s="170"/>
      <c r="H349" s="3">
        <v>2720</v>
      </c>
      <c r="I349" s="170"/>
      <c r="J349" s="5"/>
      <c r="K349" s="5"/>
      <c r="L349" s="5"/>
      <c r="M349" s="5"/>
      <c r="O349" s="74">
        <v>1</v>
      </c>
      <c r="P349" s="74">
        <v>106</v>
      </c>
      <c r="Q349" s="74">
        <v>110</v>
      </c>
      <c r="R349" s="74">
        <v>6</v>
      </c>
      <c r="S349" s="74">
        <v>5</v>
      </c>
      <c r="T349" s="74">
        <f>R349*$U$5/60+S349</f>
        <v>55</v>
      </c>
      <c r="U349" s="75"/>
    </row>
    <row r="350" spans="1:22" x14ac:dyDescent="0.25">
      <c r="A350" s="3" t="s">
        <v>29</v>
      </c>
      <c r="B350" s="3">
        <v>0</v>
      </c>
      <c r="C350" s="3">
        <v>0.3</v>
      </c>
      <c r="D350" s="3">
        <v>143</v>
      </c>
      <c r="E350" s="3">
        <v>2.4300000000000002</v>
      </c>
      <c r="F350" s="3">
        <v>8</v>
      </c>
      <c r="G350" s="170"/>
      <c r="H350" s="3">
        <v>3700</v>
      </c>
      <c r="I350" s="170"/>
      <c r="J350" s="5"/>
      <c r="K350" s="140" t="s">
        <v>73</v>
      </c>
      <c r="L350" s="141">
        <v>12</v>
      </c>
      <c r="M350" s="140" t="s">
        <v>74</v>
      </c>
      <c r="N350" s="141">
        <v>19645</v>
      </c>
      <c r="O350" s="74">
        <v>2</v>
      </c>
      <c r="P350" s="74">
        <v>76</v>
      </c>
      <c r="Q350" s="74">
        <v>40</v>
      </c>
      <c r="R350" s="74">
        <v>9</v>
      </c>
      <c r="S350" s="74">
        <v>2</v>
      </c>
      <c r="T350" s="74">
        <f t="shared" ref="T350:T352" si="36">R350*$U$5/60+S350</f>
        <v>77</v>
      </c>
      <c r="U350" s="75"/>
    </row>
    <row r="351" spans="1:22" x14ac:dyDescent="0.25">
      <c r="A351" s="3" t="s">
        <v>30</v>
      </c>
      <c r="B351" s="3">
        <v>0</v>
      </c>
      <c r="C351" s="3">
        <v>0.3</v>
      </c>
      <c r="D351" s="3">
        <v>449</v>
      </c>
      <c r="E351" s="3">
        <v>2.5299999999999998</v>
      </c>
      <c r="F351" s="3">
        <v>4</v>
      </c>
      <c r="G351" s="171"/>
      <c r="H351" s="3">
        <v>4320</v>
      </c>
      <c r="I351" s="171"/>
      <c r="J351" s="5"/>
      <c r="K351" s="140"/>
      <c r="L351" s="141"/>
      <c r="M351" s="140"/>
      <c r="N351" s="141"/>
      <c r="O351" s="74">
        <v>3</v>
      </c>
      <c r="P351" s="74">
        <v>95</v>
      </c>
      <c r="Q351" s="74">
        <v>67</v>
      </c>
      <c r="R351" s="74">
        <v>5</v>
      </c>
      <c r="S351" s="74">
        <v>4</v>
      </c>
      <c r="T351" s="74">
        <f t="shared" si="36"/>
        <v>45.666666666666664</v>
      </c>
      <c r="U351" s="75"/>
    </row>
    <row r="352" spans="1:22" ht="15.75" thickBo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O352" s="74">
        <v>4</v>
      </c>
      <c r="P352" s="74">
        <v>140</v>
      </c>
      <c r="Q352" s="94">
        <v>85</v>
      </c>
      <c r="R352" s="94">
        <v>8</v>
      </c>
      <c r="S352" s="94">
        <v>3</v>
      </c>
      <c r="T352" s="74">
        <f t="shared" si="36"/>
        <v>69.666666666666671</v>
      </c>
    </row>
    <row r="353" spans="1:34" ht="15" customHeight="1" x14ac:dyDescent="0.25">
      <c r="A353" s="142" t="s">
        <v>101</v>
      </c>
      <c r="B353" s="144" t="s">
        <v>107</v>
      </c>
      <c r="C353" s="144"/>
      <c r="D353" s="144"/>
      <c r="E353" s="144"/>
      <c r="F353" s="20" t="s">
        <v>27</v>
      </c>
      <c r="G353" s="20" t="s">
        <v>28</v>
      </c>
      <c r="H353" s="20" t="s">
        <v>29</v>
      </c>
      <c r="I353" s="20" t="s">
        <v>30</v>
      </c>
    </row>
    <row r="354" spans="1:34" ht="15.75" customHeight="1" thickBot="1" x14ac:dyDescent="0.3">
      <c r="A354" s="143"/>
      <c r="B354" s="145"/>
      <c r="C354" s="145"/>
      <c r="D354" s="145"/>
      <c r="E354" s="145"/>
      <c r="F354" s="20">
        <v>168</v>
      </c>
      <c r="G354" s="26">
        <v>84</v>
      </c>
      <c r="H354" s="26">
        <v>84</v>
      </c>
      <c r="I354" s="26">
        <v>252</v>
      </c>
    </row>
    <row r="355" spans="1:34" ht="15.75" customHeight="1" thickBot="1" x14ac:dyDescent="0.3">
      <c r="A355" s="143"/>
      <c r="B355" s="145"/>
      <c r="C355" s="145"/>
      <c r="D355" s="145"/>
      <c r="E355" s="145"/>
      <c r="F355" s="7"/>
      <c r="G355" s="146" t="s">
        <v>27</v>
      </c>
      <c r="H355" s="147"/>
      <c r="I355" s="147"/>
      <c r="J355" s="147"/>
      <c r="K355" s="148"/>
      <c r="L355" s="149" t="s">
        <v>28</v>
      </c>
      <c r="M355" s="150"/>
      <c r="N355" s="150"/>
      <c r="O355" s="150"/>
      <c r="P355" s="151"/>
      <c r="Q355" s="152" t="s">
        <v>29</v>
      </c>
      <c r="R355" s="153"/>
      <c r="S355" s="153"/>
      <c r="T355" s="153"/>
      <c r="U355" s="154"/>
      <c r="V355" s="155" t="s">
        <v>30</v>
      </c>
      <c r="W355" s="156"/>
      <c r="X355" s="156"/>
      <c r="Y355" s="156"/>
      <c r="Z355" s="157"/>
      <c r="AA355" s="158" t="s">
        <v>42</v>
      </c>
      <c r="AB355" s="159"/>
      <c r="AC355" s="160" t="s">
        <v>44</v>
      </c>
      <c r="AD355" s="162" t="s">
        <v>47</v>
      </c>
      <c r="AE355" s="163"/>
      <c r="AF355" s="163"/>
      <c r="AG355" s="164"/>
      <c r="AH355" s="138" t="s">
        <v>62</v>
      </c>
    </row>
    <row r="356" spans="1:34" ht="36.75" x14ac:dyDescent="0.25">
      <c r="A356" s="21" t="s">
        <v>32</v>
      </c>
      <c r="B356" s="22" t="s">
        <v>37</v>
      </c>
      <c r="C356" s="23" t="s">
        <v>33</v>
      </c>
      <c r="D356" s="22" t="s">
        <v>38</v>
      </c>
      <c r="E356" s="22" t="s">
        <v>34</v>
      </c>
      <c r="F356" s="25" t="s">
        <v>35</v>
      </c>
      <c r="G356" s="27" t="s">
        <v>39</v>
      </c>
      <c r="H356" s="10" t="s">
        <v>40</v>
      </c>
      <c r="I356" s="10" t="s">
        <v>45</v>
      </c>
      <c r="J356" s="10" t="s">
        <v>46</v>
      </c>
      <c r="K356" s="28" t="s">
        <v>41</v>
      </c>
      <c r="L356" s="30" t="s">
        <v>39</v>
      </c>
      <c r="M356" s="13" t="s">
        <v>40</v>
      </c>
      <c r="N356" s="13" t="s">
        <v>45</v>
      </c>
      <c r="O356" s="13" t="s">
        <v>46</v>
      </c>
      <c r="P356" s="31" t="s">
        <v>41</v>
      </c>
      <c r="Q356" s="33" t="s">
        <v>39</v>
      </c>
      <c r="R356" s="12" t="s">
        <v>40</v>
      </c>
      <c r="S356" s="12" t="s">
        <v>45</v>
      </c>
      <c r="T356" s="12" t="s">
        <v>46</v>
      </c>
      <c r="U356" s="34" t="s">
        <v>41</v>
      </c>
      <c r="V356" s="36" t="s">
        <v>39</v>
      </c>
      <c r="W356" s="11" t="s">
        <v>40</v>
      </c>
      <c r="X356" s="11" t="s">
        <v>45</v>
      </c>
      <c r="Y356" s="11" t="s">
        <v>46</v>
      </c>
      <c r="Z356" s="37" t="s">
        <v>41</v>
      </c>
      <c r="AA356" s="39" t="s">
        <v>41</v>
      </c>
      <c r="AB356" s="40" t="s">
        <v>43</v>
      </c>
      <c r="AC356" s="161"/>
      <c r="AD356" s="43" t="s">
        <v>27</v>
      </c>
      <c r="AE356" s="1" t="s">
        <v>28</v>
      </c>
      <c r="AF356" s="1" t="s">
        <v>29</v>
      </c>
      <c r="AG356" s="1" t="s">
        <v>30</v>
      </c>
      <c r="AH356" s="139"/>
    </row>
    <row r="357" spans="1:34" x14ac:dyDescent="0.25">
      <c r="A357" s="24">
        <v>1</v>
      </c>
      <c r="B357" s="9">
        <v>6</v>
      </c>
      <c r="C357" s="9">
        <v>500</v>
      </c>
      <c r="D357" s="9">
        <v>5</v>
      </c>
      <c r="E357" s="48">
        <f>B357*C357/60+D357</f>
        <v>55</v>
      </c>
      <c r="F357" s="100">
        <v>106</v>
      </c>
      <c r="G357" s="49">
        <f>B$5*(1-AD357*C$5)</f>
        <v>0</v>
      </c>
      <c r="H357" s="50">
        <f>G357+E357</f>
        <v>55</v>
      </c>
      <c r="I357" s="15">
        <f>(H357/D$5)^E$5</f>
        <v>7.6511831764011648E-2</v>
      </c>
      <c r="J357" s="15">
        <f>(G357/D$5)^E$5</f>
        <v>0</v>
      </c>
      <c r="K357" s="29">
        <f>1-EXP(J357-I357)</f>
        <v>7.3658046035411151E-2</v>
      </c>
      <c r="L357" s="51">
        <f>B$6*(1-AE357*C$6)</f>
        <v>0</v>
      </c>
      <c r="M357" s="52">
        <f>L357+E357</f>
        <v>55</v>
      </c>
      <c r="N357" s="17">
        <f>(M357/D$6)^E$6</f>
        <v>5.633709759436846E-2</v>
      </c>
      <c r="O357" s="17">
        <f>(L357/D$6)^E$6</f>
        <v>0</v>
      </c>
      <c r="P357" s="32">
        <f>1-EXP(O357-N357)</f>
        <v>5.4779549360660096E-2</v>
      </c>
      <c r="Q357" s="53">
        <f>B$7*(1-AF357*C$7)</f>
        <v>0</v>
      </c>
      <c r="R357" s="54">
        <f>Q357+E357</f>
        <v>55</v>
      </c>
      <c r="S357" s="16">
        <f>(R357/D$7)^E$7</f>
        <v>9.8087748172662498E-2</v>
      </c>
      <c r="T357" s="16">
        <f>(Q357/D$7)^E$7</f>
        <v>0</v>
      </c>
      <c r="U357" s="35">
        <f>1-EXP(T357-S357)</f>
        <v>9.3430649540250821E-2</v>
      </c>
      <c r="V357" s="55">
        <f>B$8*(1-AG357*C$8)</f>
        <v>0</v>
      </c>
      <c r="W357" s="56">
        <f>V357+E357</f>
        <v>55</v>
      </c>
      <c r="X357" s="18">
        <f>(W357/D$8)^E$8</f>
        <v>4.9309927237744132E-3</v>
      </c>
      <c r="Y357" s="18">
        <f>(V357/D$8)^E$8</f>
        <v>0</v>
      </c>
      <c r="Z357" s="38">
        <f>1-EXP(Y357-X357)</f>
        <v>4.9188553371368737E-3</v>
      </c>
      <c r="AA357" s="41">
        <f>K357*P357*U357*Z357</f>
        <v>1.8543515323034395E-6</v>
      </c>
      <c r="AB357" s="42">
        <f>1-AA357</f>
        <v>0.99999814564846767</v>
      </c>
      <c r="AC357" s="47">
        <f>(AD357*F$5+AE357*F$6+AF357*F$7+AG357*F$8)+E357</f>
        <v>55</v>
      </c>
      <c r="AD357" s="43">
        <v>0</v>
      </c>
      <c r="AE357" s="1">
        <v>0</v>
      </c>
      <c r="AF357" s="1">
        <v>0</v>
      </c>
      <c r="AG357" s="1">
        <v>0</v>
      </c>
      <c r="AH357" s="74">
        <v>110</v>
      </c>
    </row>
    <row r="358" spans="1:34" x14ac:dyDescent="0.25">
      <c r="A358" s="76">
        <v>2</v>
      </c>
      <c r="B358" s="58">
        <v>9</v>
      </c>
      <c r="C358" s="9">
        <v>500</v>
      </c>
      <c r="D358" s="58">
        <v>2</v>
      </c>
      <c r="E358" s="48">
        <f t="shared" ref="E358:E360" si="37">B358*C358/60+D358</f>
        <v>77</v>
      </c>
      <c r="F358" s="100">
        <v>76</v>
      </c>
      <c r="G358" s="49">
        <f>H357*(1-AD358*C$5)</f>
        <v>55</v>
      </c>
      <c r="H358" s="50">
        <f>G358+E358</f>
        <v>132</v>
      </c>
      <c r="I358" s="15">
        <f>(H358/D$5)^E$5</f>
        <v>0.34793173894508389</v>
      </c>
      <c r="J358" s="15">
        <f>(G358/D$5)^E$5</f>
        <v>7.6511831764011648E-2</v>
      </c>
      <c r="K358" s="29">
        <f>1-EXP(J358-I358)</f>
        <v>0.23770366451454039</v>
      </c>
      <c r="L358" s="51">
        <f>M357*(1-AE358*C$6)</f>
        <v>55</v>
      </c>
      <c r="M358" s="52">
        <f>L358+E358</f>
        <v>132</v>
      </c>
      <c r="N358" s="17">
        <f>(M358/D$6)^E$6</f>
        <v>0.29214038913862722</v>
      </c>
      <c r="O358" s="17">
        <f>(L358/D$6)^E$6</f>
        <v>5.633709759436846E-2</v>
      </c>
      <c r="P358" s="32">
        <f>1-EXP(O358-N358)</f>
        <v>0.21006395424947955</v>
      </c>
      <c r="Q358" s="53">
        <f>R357*(1-AF358*C$7)</f>
        <v>55</v>
      </c>
      <c r="R358" s="54">
        <f>Q358+E358</f>
        <v>132</v>
      </c>
      <c r="S358" s="16">
        <f>(R358/D$7)^E$7</f>
        <v>0.82324306668270808</v>
      </c>
      <c r="T358" s="16">
        <f>(Q358/D$7)^E$7</f>
        <v>9.8087748172662498E-2</v>
      </c>
      <c r="U358" s="35">
        <f>1-EXP(T358-S358)</f>
        <v>0.5157506497734845</v>
      </c>
      <c r="V358" s="55">
        <f>W357*(1-AG358*C$8)</f>
        <v>55</v>
      </c>
      <c r="W358" s="56">
        <f>V358+E358</f>
        <v>132</v>
      </c>
      <c r="X358" s="18">
        <f>(W358/D$8)^E$8</f>
        <v>4.5171946303006208E-2</v>
      </c>
      <c r="Y358" s="18">
        <f>(V358/D$8)^E$8</f>
        <v>4.9309927237744132E-3</v>
      </c>
      <c r="Z358" s="38">
        <f>1-EXP(Y358-X358)</f>
        <v>3.9442038613110686E-2</v>
      </c>
      <c r="AA358" s="41">
        <f>K358*P358*U358*Z358</f>
        <v>1.0157493454002661E-3</v>
      </c>
      <c r="AB358" s="42">
        <f>1-AA358</f>
        <v>0.99898425065459973</v>
      </c>
      <c r="AC358" s="47">
        <f>AF358*F$7+E358+AC357</f>
        <v>132</v>
      </c>
      <c r="AD358" s="43">
        <v>0</v>
      </c>
      <c r="AE358" s="1">
        <v>0</v>
      </c>
      <c r="AF358" s="1">
        <v>0</v>
      </c>
      <c r="AG358" s="1">
        <v>0</v>
      </c>
      <c r="AH358" s="74">
        <v>40</v>
      </c>
    </row>
    <row r="359" spans="1:34" x14ac:dyDescent="0.25">
      <c r="A359" s="24">
        <v>4</v>
      </c>
      <c r="B359" s="9">
        <v>8</v>
      </c>
      <c r="C359" s="58">
        <v>500</v>
      </c>
      <c r="D359" s="58">
        <v>3</v>
      </c>
      <c r="E359" s="48">
        <f t="shared" si="37"/>
        <v>69.666666666666671</v>
      </c>
      <c r="F359" s="100">
        <v>140</v>
      </c>
      <c r="G359" s="68">
        <f>H358*(1-AD359*C$5)</f>
        <v>132</v>
      </c>
      <c r="H359" s="69">
        <f>G359+E359</f>
        <v>201.66666666666669</v>
      </c>
      <c r="I359" s="70">
        <f>(H359/D$5)^E$5</f>
        <v>0.72429948125597088</v>
      </c>
      <c r="J359" s="70">
        <f>(G359/D$5)^E$5</f>
        <v>0.34793173894508389</v>
      </c>
      <c r="K359" s="29">
        <f>1-EXP(J359-I359)</f>
        <v>0.313650113265873</v>
      </c>
      <c r="L359" s="51">
        <f>M358*(1-AE359*C$6)</f>
        <v>92.399999999999991</v>
      </c>
      <c r="M359" s="52">
        <f>L359+E359</f>
        <v>162.06666666666666</v>
      </c>
      <c r="N359" s="17">
        <f>(M359/D$6)^E$6</f>
        <v>0.42967171801167126</v>
      </c>
      <c r="O359" s="17">
        <f>(L359/D$6)^E$6</f>
        <v>0.14940871089337018</v>
      </c>
      <c r="P359" s="32">
        <f>1-EXP(O359-N359)</f>
        <v>0.24441500891064738</v>
      </c>
      <c r="Q359" s="53">
        <f>R358*(1-AF359*C$7)</f>
        <v>92.399999999999991</v>
      </c>
      <c r="R359" s="54">
        <f>Q359+E359</f>
        <v>162.06666666666666</v>
      </c>
      <c r="S359" s="16">
        <f>(R359/D$7)^E$7</f>
        <v>1.3554675326688883</v>
      </c>
      <c r="T359" s="16">
        <f>(Q359/D$7)^E$7</f>
        <v>0.34603204471909926</v>
      </c>
      <c r="U359" s="35">
        <f>1-EXP(T359-S359)</f>
        <v>0.63557535638113816</v>
      </c>
      <c r="V359" s="55">
        <f>W358*(1-AG359*C$8)</f>
        <v>132</v>
      </c>
      <c r="W359" s="56">
        <f>V359+E359</f>
        <v>201.66666666666669</v>
      </c>
      <c r="X359" s="18">
        <f>(W359/D$8)^E$8</f>
        <v>0.13199001575183039</v>
      </c>
      <c r="Y359" s="18">
        <f>(V359/D$8)^E$8</f>
        <v>4.5171946303006208E-2</v>
      </c>
      <c r="Z359" s="38">
        <f>1-EXP(Y359-X359)</f>
        <v>8.3156117626247084E-2</v>
      </c>
      <c r="AA359" s="41">
        <f>K359*P359*U359*Z359</f>
        <v>4.051674746877525E-3</v>
      </c>
      <c r="AB359" s="42">
        <f>1-AA359</f>
        <v>0.99594832525312249</v>
      </c>
      <c r="AC359" s="47">
        <f>(AF359*F$7)+E359+AC358</f>
        <v>209.66666666666669</v>
      </c>
      <c r="AD359" s="77">
        <v>0</v>
      </c>
      <c r="AE359" s="78">
        <v>1</v>
      </c>
      <c r="AF359" s="78">
        <v>1</v>
      </c>
      <c r="AG359" s="78">
        <v>0</v>
      </c>
      <c r="AH359" s="74">
        <v>85</v>
      </c>
    </row>
    <row r="360" spans="1:34" ht="15.75" thickBot="1" x14ac:dyDescent="0.3">
      <c r="A360" s="57">
        <v>3</v>
      </c>
      <c r="B360" s="58">
        <v>5</v>
      </c>
      <c r="C360" s="58">
        <v>500</v>
      </c>
      <c r="D360" s="9">
        <v>4</v>
      </c>
      <c r="E360" s="48">
        <f t="shared" si="37"/>
        <v>45.666666666666664</v>
      </c>
      <c r="F360" s="100">
        <v>95</v>
      </c>
      <c r="G360" s="68">
        <f>H359*(1-AD360*C$5)</f>
        <v>141.16666666666666</v>
      </c>
      <c r="H360" s="69">
        <f>G360+E360</f>
        <v>186.83333333333331</v>
      </c>
      <c r="I360" s="70">
        <f>(H360/D$5)^E$5</f>
        <v>0.63462502467785764</v>
      </c>
      <c r="J360" s="70">
        <f>(G360/D$5)^E$5</f>
        <v>0.39078490830583607</v>
      </c>
      <c r="K360" s="29">
        <f>1-EXP(J360-I360)</f>
        <v>0.21638708887710267</v>
      </c>
      <c r="L360" s="51">
        <f>M359*(1-AE360*C$6)</f>
        <v>113.44666666666666</v>
      </c>
      <c r="M360" s="52">
        <f>L360+E360</f>
        <v>159.11333333333332</v>
      </c>
      <c r="N360" s="17">
        <f>(M360/D$6)^E$6</f>
        <v>0.41506964346675868</v>
      </c>
      <c r="O360" s="17">
        <f>(L360/D$6)^E$6</f>
        <v>0.21974605320663379</v>
      </c>
      <c r="P360" s="32">
        <f>1-EXP(O360-N360)</f>
        <v>0.17743156014988948</v>
      </c>
      <c r="Q360" s="53">
        <f>R359*(1-AF360*C$7)</f>
        <v>113.44666666666666</v>
      </c>
      <c r="R360" s="54">
        <f>Q360+E360</f>
        <v>159.11333333333332</v>
      </c>
      <c r="S360" s="16">
        <f>(R360/D$7)^E$7</f>
        <v>1.2962250315687902</v>
      </c>
      <c r="T360" s="16">
        <f>(Q360/D$7)^E$7</f>
        <v>0.56974084673408143</v>
      </c>
      <c r="U360" s="35">
        <f>1-EXP(T360-S360)</f>
        <v>0.51639372505256609</v>
      </c>
      <c r="V360" s="55">
        <f>W359*(1-AG360*C$8)</f>
        <v>201.66666666666669</v>
      </c>
      <c r="W360" s="56">
        <f>V360+E360</f>
        <v>247.33333333333334</v>
      </c>
      <c r="X360" s="18">
        <f>(W360/D$8)^E$8</f>
        <v>0.22121871391987213</v>
      </c>
      <c r="Y360" s="18">
        <f>(V360/D$8)^E$8</f>
        <v>0.13199001575183039</v>
      </c>
      <c r="Z360" s="38">
        <f>1-EXP(Y360-X360)</f>
        <v>8.5363626009572924E-2</v>
      </c>
      <c r="AA360" s="41">
        <f>K360*P360*U360*Z360</f>
        <v>1.6924506979174338E-3</v>
      </c>
      <c r="AB360" s="42">
        <f>1-AA360</f>
        <v>0.99830754930208254</v>
      </c>
      <c r="AC360" s="47">
        <f>(AF360*F$7)+E360+AC359</f>
        <v>263.33333333333337</v>
      </c>
      <c r="AD360" s="80">
        <v>1</v>
      </c>
      <c r="AE360" s="45">
        <v>1</v>
      </c>
      <c r="AF360" s="81">
        <v>1</v>
      </c>
      <c r="AG360" s="45">
        <v>0</v>
      </c>
      <c r="AH360" s="94">
        <v>67</v>
      </c>
    </row>
    <row r="361" spans="1:34" ht="18.75" x14ac:dyDescent="0.3">
      <c r="A361" s="132" t="s">
        <v>53</v>
      </c>
      <c r="B361" s="132"/>
      <c r="C361" s="132"/>
      <c r="D361" s="132"/>
      <c r="E361" s="132"/>
      <c r="F361" s="132"/>
      <c r="G361" s="132"/>
      <c r="H361" s="132"/>
      <c r="I361" s="132"/>
      <c r="J361" s="132"/>
      <c r="AG361" s="46"/>
    </row>
    <row r="362" spans="1:34" ht="15.75" x14ac:dyDescent="0.25">
      <c r="A362" s="19" t="s">
        <v>58</v>
      </c>
      <c r="B362" s="60" t="s">
        <v>49</v>
      </c>
      <c r="C362" s="61" t="s">
        <v>50</v>
      </c>
      <c r="D362" s="19" t="s">
        <v>48</v>
      </c>
      <c r="E362" s="60" t="s">
        <v>57</v>
      </c>
      <c r="F362" s="61" t="s">
        <v>50</v>
      </c>
      <c r="G362" s="19" t="s">
        <v>82</v>
      </c>
      <c r="H362" s="60" t="s">
        <v>61</v>
      </c>
      <c r="I362" s="61" t="s">
        <v>50</v>
      </c>
      <c r="J362" s="19" t="s">
        <v>54</v>
      </c>
      <c r="K362" s="83" t="s">
        <v>84</v>
      </c>
      <c r="L362" s="61" t="s">
        <v>50</v>
      </c>
      <c r="M362" s="61" t="s">
        <v>85</v>
      </c>
      <c r="O362" s="174" t="s">
        <v>64</v>
      </c>
      <c r="P362" s="174"/>
      <c r="Q362" s="175" t="s">
        <v>109</v>
      </c>
      <c r="R362" s="175"/>
    </row>
    <row r="363" spans="1:34" ht="24.75" x14ac:dyDescent="0.25">
      <c r="A363" s="61" t="s">
        <v>51</v>
      </c>
      <c r="B363" s="1">
        <f>AA357</f>
        <v>1.8543515323034395E-6</v>
      </c>
      <c r="C363" s="59">
        <f>MAX(AC357+1*L350-F357,0)</f>
        <v>0</v>
      </c>
      <c r="D363" s="62" t="s">
        <v>55</v>
      </c>
      <c r="E363" s="1">
        <f>AA357*AA358</f>
        <v>1.8835563550791993E-9</v>
      </c>
      <c r="F363" s="1">
        <f>MAX(AC358+2*L350-F358,0)</f>
        <v>80</v>
      </c>
      <c r="G363" s="62" t="s">
        <v>59</v>
      </c>
      <c r="H363" s="1">
        <f>AA357*AA358*AA359</f>
        <v>7.6315577181950684E-12</v>
      </c>
      <c r="I363" s="1">
        <f>AC359+3*L350-F359</f>
        <v>105.66666666666669</v>
      </c>
      <c r="J363" s="62" t="s">
        <v>83</v>
      </c>
      <c r="K363" s="1">
        <f>AA357*AA358*AA359*AA360</f>
        <v>1.2916035186356421E-14</v>
      </c>
      <c r="L363" s="1">
        <f>AC360+4*L350-F360</f>
        <v>216.33333333333337</v>
      </c>
      <c r="M363" s="1">
        <f>B363*C363*AH357+E363*F363*AH358+H363*I363*AH359+K363*L363*AH360</f>
        <v>6.0961116531450288E-6</v>
      </c>
      <c r="O363" s="1" t="s">
        <v>27</v>
      </c>
      <c r="P363" s="1">
        <f>H348</f>
        <v>1820</v>
      </c>
      <c r="Q363" s="1">
        <f>(K357*(1-P357)*(1-U357)*(1-Z357))+(P357*(1-K357)*(1-U357)*(1-Z357))+(U357*(1-K357)*(1-P357)*(1-Z357))+(Z357*(1-K357)*(1-P357)*(1-U357))</f>
        <v>0.19389466846386108</v>
      </c>
      <c r="R363" s="1">
        <f>Q363*(L$7*(J$5*K$5+L$5)+I$5)</f>
        <v>6833.8175900087836</v>
      </c>
    </row>
    <row r="364" spans="1:34" ht="24.75" x14ac:dyDescent="0.25">
      <c r="A364" s="62" t="s">
        <v>52</v>
      </c>
      <c r="B364" s="1">
        <f>AB357</f>
        <v>0.99999814564846767</v>
      </c>
      <c r="C364" s="59">
        <f>MAX(AC357-F357,0)</f>
        <v>0</v>
      </c>
      <c r="D364" s="62" t="s">
        <v>56</v>
      </c>
      <c r="E364" s="1">
        <f>AA357*AB358+AA358*AB357</f>
        <v>1.0175999298198595E-3</v>
      </c>
      <c r="F364" s="1">
        <f>MAX(AC358+1*L350-F358,0)</f>
        <v>68</v>
      </c>
      <c r="G364" s="62" t="s">
        <v>60</v>
      </c>
      <c r="H364" s="1">
        <f>AA357*AA358*AB359+AA358*AA359*AB357+AA357*AA359*AB358</f>
        <v>4.1248598628728263E-6</v>
      </c>
      <c r="I364" s="1">
        <f>AC359+2*L350-F359</f>
        <v>93.666666666666686</v>
      </c>
      <c r="J364" s="62" t="s">
        <v>59</v>
      </c>
      <c r="K364">
        <f>AB357*AA358*AA359*AA360+AB358*AA357*AA359*AA360*+AB359*AA357*AA358*AA360+AB360*AA357*AA358*AA359</f>
        <v>6.9728628310858874E-9</v>
      </c>
      <c r="L364" s="1">
        <f>AC360+3*L350-F360</f>
        <v>204.33333333333337</v>
      </c>
      <c r="M364" s="1">
        <f>B364*C364*AH357+E364*F364*AH358+H364*I364*AH359+K364*L364*AH360</f>
        <v>2.8008080292013688</v>
      </c>
      <c r="O364" s="1" t="s">
        <v>28</v>
      </c>
      <c r="P364" s="1">
        <f>2*H349</f>
        <v>5440</v>
      </c>
      <c r="Q364" s="1">
        <f t="shared" ref="Q364:Q366" si="38">(K358*(1-P358)*(1-U358)*(1-Z358))+(P358*(1-K358)*(1-U358)*(1-Z358))+(U358*(1-K358)*(1-P358)*(1-Z358))+(Z358*(1-K358)*(1-P358)*(1-U358))</f>
        <v>0.47164531059336612</v>
      </c>
      <c r="R364" s="1">
        <f t="shared" ref="R364:R366" si="39">Q364*(L$7*(J$5*K$5+L$5)+I$5)</f>
        <v>16623.138971863187</v>
      </c>
    </row>
    <row r="365" spans="1:34" ht="24.75" x14ac:dyDescent="0.25">
      <c r="A365" s="1"/>
      <c r="B365" s="1"/>
      <c r="C365" s="1"/>
      <c r="D365" s="62" t="s">
        <v>52</v>
      </c>
      <c r="E365" s="1">
        <f>AB357*AB358</f>
        <v>0.99898239818662371</v>
      </c>
      <c r="F365" s="59">
        <f>MAX(AC358-F358,0)</f>
        <v>56</v>
      </c>
      <c r="G365" s="62" t="s">
        <v>56</v>
      </c>
      <c r="H365" s="1">
        <f>AA357*AB358*AB359+AA358*AB357*AB359*+AA359*AB357*AB358</f>
        <v>5.9395951887862217E-6</v>
      </c>
      <c r="I365" s="1">
        <f>AC359+1*L350-F359</f>
        <v>81.666666666666686</v>
      </c>
      <c r="J365" s="62" t="s">
        <v>60</v>
      </c>
      <c r="K365" s="1">
        <f>AA357*AA358*AB359*AB360 + AA357*AA359*AB358*AB360 + AA357*AA360*AB358*AB359 + AA358*AA359*AB357*AB360 + AA358*AA360*AB357*AB359 + AA359*AA360*AB357*AB358</f>
        <v>1.2683420298427726E-5</v>
      </c>
      <c r="L365" s="1">
        <f>AC360+2*L350-F360</f>
        <v>192.33333333333337</v>
      </c>
      <c r="M365" s="1">
        <f>B365*C365*AH357+E365*F365*AH358+H365*I365*AH359+K365*L365*AH360</f>
        <v>2237.925245409745</v>
      </c>
      <c r="O365" s="1" t="s">
        <v>29</v>
      </c>
      <c r="P365" s="1">
        <f>2*(F350*(J348*K348+L348)+H350)</f>
        <v>28200</v>
      </c>
      <c r="Q365" s="1">
        <f t="shared" si="38"/>
        <v>0.45314653041339692</v>
      </c>
      <c r="R365" s="1">
        <f t="shared" si="39"/>
        <v>15971.149464420174</v>
      </c>
    </row>
    <row r="366" spans="1:34" ht="24.75" x14ac:dyDescent="0.25">
      <c r="A366" s="1"/>
      <c r="B366" s="1"/>
      <c r="C366" s="1"/>
      <c r="D366" s="1"/>
      <c r="E366" s="1"/>
      <c r="F366" s="1"/>
      <c r="G366" s="62" t="s">
        <v>52</v>
      </c>
      <c r="H366" s="1">
        <f>AB357*AB358*AB359</f>
        <v>0.9949348464313158</v>
      </c>
      <c r="I366" s="63">
        <f>AC359-F359</f>
        <v>69.666666666666686</v>
      </c>
      <c r="J366" s="62" t="s">
        <v>56</v>
      </c>
      <c r="K366" s="1">
        <f>AA357*AB358*AB359*AB360+AA358*AB357*AB359*AB360+AA359*AB357*AB358*AB360+AA360*AB357*AB358*AB359</f>
        <v>6.7363413348572217E-3</v>
      </c>
      <c r="L366" s="1">
        <f>AC360+1*L350-F360</f>
        <v>180.33333333333337</v>
      </c>
      <c r="M366" s="1">
        <f>B366*C366*AH357+E366*F366*AH358+H366*I366*AH359+K366*L366*AH360</f>
        <v>5973.0632370722997</v>
      </c>
      <c r="O366" s="1" t="s">
        <v>30</v>
      </c>
      <c r="P366" s="1">
        <v>0</v>
      </c>
      <c r="Q366" s="1">
        <f t="shared" si="38"/>
        <v>0.47128086062623648</v>
      </c>
      <c r="R366" s="1">
        <f t="shared" si="39"/>
        <v>16610.293932771703</v>
      </c>
    </row>
    <row r="367" spans="1:34" ht="30" x14ac:dyDescent="0.25">
      <c r="I367" s="84"/>
      <c r="J367" s="62" t="s">
        <v>52</v>
      </c>
      <c r="K367" s="85">
        <f>AB357*AB358*AB359*AB360</f>
        <v>0.99325096825609072</v>
      </c>
      <c r="L367" s="1">
        <f>AC360+0*L350-F360</f>
        <v>168.33333333333337</v>
      </c>
      <c r="M367" s="1">
        <f>B367*C367*AH357+E367*F367*AH358+H367*I367*AH359+K367*L367*AH360</f>
        <v>11202.215503648278</v>
      </c>
      <c r="O367" s="64" t="s">
        <v>65</v>
      </c>
      <c r="P367" s="65">
        <f>SUM(P363:P366)</f>
        <v>35460</v>
      </c>
      <c r="Q367" s="96" t="s">
        <v>108</v>
      </c>
      <c r="R367" s="97">
        <f>SUM(R363:R366)</f>
        <v>56038.399959063849</v>
      </c>
    </row>
    <row r="368" spans="1:34" x14ac:dyDescent="0.25">
      <c r="L368" s="176" t="s">
        <v>63</v>
      </c>
      <c r="M368" s="177">
        <f>SUM(M363:M367)</f>
        <v>19416.004800255636</v>
      </c>
    </row>
    <row r="369" spans="1:22" x14ac:dyDescent="0.25">
      <c r="L369" s="176"/>
      <c r="M369" s="177"/>
    </row>
    <row r="370" spans="1:22" x14ac:dyDescent="0.25">
      <c r="A370" s="178" t="s">
        <v>90</v>
      </c>
      <c r="B370" s="178"/>
      <c r="C370" s="178"/>
      <c r="D370" s="178"/>
      <c r="E370" s="178"/>
      <c r="F370" s="178"/>
      <c r="G370" s="178"/>
      <c r="H370" s="178"/>
      <c r="I370" s="178"/>
      <c r="J370" s="178"/>
      <c r="K370" s="178"/>
      <c r="L370" s="178"/>
      <c r="M370" s="178"/>
      <c r="N370" s="178"/>
    </row>
    <row r="371" spans="1:22" ht="15.75" x14ac:dyDescent="0.25">
      <c r="A371" s="87" t="s">
        <v>77</v>
      </c>
      <c r="B371" s="62" t="s">
        <v>49</v>
      </c>
      <c r="C371" s="90" t="s">
        <v>78</v>
      </c>
      <c r="D371" s="62" t="s">
        <v>88</v>
      </c>
      <c r="E371" s="87" t="s">
        <v>75</v>
      </c>
      <c r="F371" s="62" t="s">
        <v>57</v>
      </c>
      <c r="G371" s="90" t="s">
        <v>87</v>
      </c>
      <c r="H371" s="62" t="s">
        <v>88</v>
      </c>
      <c r="I371" s="87" t="s">
        <v>86</v>
      </c>
      <c r="J371" s="62" t="s">
        <v>61</v>
      </c>
      <c r="K371" s="90" t="s">
        <v>103</v>
      </c>
      <c r="L371" s="62" t="s">
        <v>88</v>
      </c>
      <c r="M371" s="87" t="s">
        <v>76</v>
      </c>
      <c r="N371" s="62" t="s">
        <v>84</v>
      </c>
      <c r="O371" s="90" t="s">
        <v>102</v>
      </c>
      <c r="P371" s="62" t="s">
        <v>88</v>
      </c>
    </row>
    <row r="372" spans="1:22" ht="24.75" x14ac:dyDescent="0.25">
      <c r="A372" s="62" t="s">
        <v>51</v>
      </c>
      <c r="B372" s="86">
        <v>1.8543515323034395E-6</v>
      </c>
      <c r="C372" s="86">
        <f>AC357+1*L350</f>
        <v>67</v>
      </c>
      <c r="D372" s="86">
        <f>MAX(B372*1.5*((C372-F357)*500/2),0)</f>
        <v>0</v>
      </c>
      <c r="E372" s="62" t="s">
        <v>55</v>
      </c>
      <c r="F372" s="86">
        <v>1.8835563550791993E-9</v>
      </c>
      <c r="G372" s="86">
        <f>AC358+2*L350</f>
        <v>156</v>
      </c>
      <c r="H372" s="86">
        <f>F372*1.5*((G372-F358)*500/2+(G372-F359)*500+(G372-F360)*500)</f>
        <v>1.6528207015819975E-4</v>
      </c>
      <c r="I372" s="62" t="s">
        <v>59</v>
      </c>
      <c r="J372" s="86">
        <v>7.6315577181950684E-12</v>
      </c>
      <c r="K372" s="86">
        <f>AC359+3*L350</f>
        <v>245.66666666666669</v>
      </c>
      <c r="L372" s="86">
        <f>J372*1.5*((K372-G372)*500/2+(K372-G372)*500)</f>
        <v>7.6983338482292776E-7</v>
      </c>
      <c r="M372" s="62" t="s">
        <v>83</v>
      </c>
      <c r="N372" s="86">
        <v>1.2916035186356421E-14</v>
      </c>
      <c r="O372" s="86">
        <f>AC360+4*L350</f>
        <v>311.33333333333337</v>
      </c>
      <c r="P372" s="86">
        <f>N372*1.5*((O372-K372)*500/2)</f>
        <v>3.1805736646402695E-10</v>
      </c>
    </row>
    <row r="373" spans="1:22" ht="24.75" x14ac:dyDescent="0.25">
      <c r="A373" s="62" t="s">
        <v>52</v>
      </c>
      <c r="B373" s="86">
        <v>0.99999814564846767</v>
      </c>
      <c r="C373" s="88">
        <f>AC357</f>
        <v>55</v>
      </c>
      <c r="D373" s="86">
        <f>MAX(B373*1.5*((C373-F357)*500/2),0)</f>
        <v>0</v>
      </c>
      <c r="E373" s="62" t="s">
        <v>56</v>
      </c>
      <c r="F373" s="86">
        <v>1.0175999298198595E-3</v>
      </c>
      <c r="G373" s="86">
        <f>AC358+1*L350</f>
        <v>144</v>
      </c>
      <c r="H373" s="86">
        <f>F373*1.5*((G373-F358)*500/2+(G373-F359)*500+(G373-F360)*500)</f>
        <v>66.398395420745828</v>
      </c>
      <c r="I373" s="62" t="s">
        <v>60</v>
      </c>
      <c r="J373" s="86">
        <v>4.1248598628728263E-6</v>
      </c>
      <c r="K373" s="86">
        <f>AC359+2*L350</f>
        <v>233.66666666666669</v>
      </c>
      <c r="L373" s="86">
        <f>J373*1.5*((K373-G373)*500/2+(K373-G373)*500)</f>
        <v>0.41609523866729647</v>
      </c>
      <c r="M373" s="62" t="s">
        <v>59</v>
      </c>
      <c r="N373" s="86">
        <v>6.9728628310858874E-9</v>
      </c>
      <c r="O373" s="86">
        <f>AC360+3*L350</f>
        <v>299.33333333333337</v>
      </c>
      <c r="P373" s="86">
        <f>N373*1.5*((O373-K373)*500/2)</f>
        <v>1.7170674721549004E-4</v>
      </c>
    </row>
    <row r="374" spans="1:22" x14ac:dyDescent="0.25">
      <c r="A374" s="86"/>
      <c r="B374" s="86"/>
      <c r="C374" s="89" t="s">
        <v>89</v>
      </c>
      <c r="D374" s="89">
        <f>SUM(D372:D373)</f>
        <v>0</v>
      </c>
      <c r="E374" s="62" t="s">
        <v>52</v>
      </c>
      <c r="F374" s="86">
        <v>0.99898239818662371</v>
      </c>
      <c r="G374" s="86">
        <f>AC358+0*L350</f>
        <v>132</v>
      </c>
      <c r="H374" s="86">
        <f>F374*1.5*((G374-F358)*500/2+(G374-F360)*500)</f>
        <v>48700.391911597901</v>
      </c>
      <c r="I374" s="62" t="s">
        <v>56</v>
      </c>
      <c r="J374" s="86">
        <v>5.9395951887862217E-6</v>
      </c>
      <c r="K374" s="86">
        <f>AC359+1*L350</f>
        <v>221.66666666666669</v>
      </c>
      <c r="L374" s="86">
        <f>J374*1.5*((K374-F359)*500/2+(K374-G374)*500)</f>
        <v>0.5813378791024516</v>
      </c>
      <c r="M374" s="62" t="s">
        <v>60</v>
      </c>
      <c r="N374" s="86">
        <v>1.2683420298427726E-5</v>
      </c>
      <c r="O374" s="86">
        <f>AC360+2*L350</f>
        <v>287.33333333333337</v>
      </c>
      <c r="P374" s="86">
        <f>N374*1.5*((O374-K374)*500/2)</f>
        <v>0.31232922484878284</v>
      </c>
    </row>
    <row r="375" spans="1:22" x14ac:dyDescent="0.25">
      <c r="A375" s="86"/>
      <c r="B375" s="86"/>
      <c r="C375" s="86"/>
      <c r="D375" s="86"/>
      <c r="E375" s="86"/>
      <c r="F375" s="86"/>
      <c r="G375" s="89" t="s">
        <v>79</v>
      </c>
      <c r="H375" s="89">
        <f>SUM(H372:H374)</f>
        <v>48766.790472300716</v>
      </c>
      <c r="I375" s="62" t="s">
        <v>52</v>
      </c>
      <c r="J375" s="86">
        <v>0.9949348464313158</v>
      </c>
      <c r="K375" s="86">
        <f>AC359+0*L350</f>
        <v>209.66666666666669</v>
      </c>
      <c r="L375" s="86">
        <f>J375*1.5*((K375-F359)*500/2+(K375-G374)*500)</f>
        <v>83947.627667642286</v>
      </c>
      <c r="M375" s="62" t="s">
        <v>56</v>
      </c>
      <c r="N375" s="86">
        <v>6.7363413348572217E-3</v>
      </c>
      <c r="O375" s="86">
        <f>AC360+1*L350</f>
        <v>275.33333333333337</v>
      </c>
      <c r="P375" s="86">
        <f>N375*1.5*((O375-K375)*500/2)</f>
        <v>165.88240537085915</v>
      </c>
    </row>
    <row r="376" spans="1:22" x14ac:dyDescent="0.25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9" t="s">
        <v>79</v>
      </c>
      <c r="L376" s="89">
        <f>SUM(L372:L375)</f>
        <v>83948.625101529891</v>
      </c>
      <c r="M376" s="62" t="s">
        <v>52</v>
      </c>
      <c r="N376" s="86">
        <v>0.99325096825609072</v>
      </c>
      <c r="O376" s="86">
        <f>AC360+0*L350</f>
        <v>263.33333333333337</v>
      </c>
      <c r="P376" s="86">
        <f>N376*1.5*((O376-K375)*500/2)</f>
        <v>19989.175736153833</v>
      </c>
      <c r="Q376" s="179" t="s">
        <v>80</v>
      </c>
      <c r="R376" s="179"/>
      <c r="S376" s="180">
        <f>D374+H375+L376+P377</f>
        <v>152870.7862162872</v>
      </c>
      <c r="T376" s="180"/>
    </row>
    <row r="377" spans="1:22" x14ac:dyDescent="0.25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9" t="s">
        <v>79</v>
      </c>
      <c r="P377" s="89">
        <f>SUM(P372:P376)</f>
        <v>20155.370642456604</v>
      </c>
      <c r="Q377" s="179"/>
      <c r="R377" s="179"/>
      <c r="S377" s="180"/>
      <c r="T377" s="180"/>
    </row>
    <row r="378" spans="1:22" x14ac:dyDescent="0.25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</row>
    <row r="379" spans="1:22" x14ac:dyDescent="0.25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</row>
    <row r="380" spans="1:22" x14ac:dyDescent="0.25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</row>
    <row r="381" spans="1:22" ht="24.75" thickBot="1" x14ac:dyDescent="0.3">
      <c r="O381" s="131" t="s">
        <v>81</v>
      </c>
      <c r="P381" s="131"/>
      <c r="Q381" s="131">
        <f>(R367+P367+M368+S376)/AC360</f>
        <v>1001.7159150972404</v>
      </c>
      <c r="R381" s="131"/>
    </row>
    <row r="382" spans="1:22" x14ac:dyDescent="0.25">
      <c r="A382" s="181" t="s">
        <v>115</v>
      </c>
      <c r="B382" s="182"/>
    </row>
    <row r="383" spans="1:22" ht="15.75" thickBot="1" x14ac:dyDescent="0.3">
      <c r="A383" s="183"/>
      <c r="B383" s="184"/>
    </row>
    <row r="384" spans="1:22" ht="21" x14ac:dyDescent="0.35">
      <c r="A384" s="185" t="s">
        <v>14</v>
      </c>
      <c r="B384" s="185"/>
      <c r="C384" s="165"/>
      <c r="D384" s="165"/>
      <c r="E384" s="165"/>
      <c r="F384" s="165"/>
      <c r="G384" s="165"/>
      <c r="H384" s="165"/>
      <c r="I384" s="165"/>
      <c r="J384" s="165"/>
      <c r="K384" s="165"/>
      <c r="L384" s="165"/>
      <c r="M384" s="165"/>
      <c r="O384" s="166" t="s">
        <v>72</v>
      </c>
      <c r="P384" s="166"/>
      <c r="Q384" s="166"/>
      <c r="R384" s="166"/>
      <c r="S384" s="166"/>
      <c r="T384" s="166"/>
      <c r="U384" s="166"/>
      <c r="V384" s="166"/>
    </row>
    <row r="385" spans="1:34" ht="36" x14ac:dyDescent="0.25">
      <c r="A385" s="4" t="s">
        <v>15</v>
      </c>
      <c r="B385" s="4" t="s">
        <v>16</v>
      </c>
      <c r="C385" s="4" t="s">
        <v>31</v>
      </c>
      <c r="D385" s="6" t="s">
        <v>17</v>
      </c>
      <c r="E385" s="6" t="s">
        <v>18</v>
      </c>
      <c r="F385" s="6" t="s">
        <v>19</v>
      </c>
      <c r="G385" s="6" t="s">
        <v>20</v>
      </c>
      <c r="H385" s="6" t="s">
        <v>21</v>
      </c>
      <c r="I385" s="6" t="s">
        <v>22</v>
      </c>
      <c r="J385" s="6" t="s">
        <v>23</v>
      </c>
      <c r="K385" s="6" t="s">
        <v>24</v>
      </c>
      <c r="L385" s="6" t="s">
        <v>25</v>
      </c>
      <c r="M385" s="6" t="s">
        <v>26</v>
      </c>
      <c r="N385" s="8"/>
      <c r="O385" s="167" t="s">
        <v>32</v>
      </c>
      <c r="P385" s="167" t="s">
        <v>35</v>
      </c>
      <c r="Q385" s="167" t="s">
        <v>66</v>
      </c>
      <c r="R385" s="99" t="s">
        <v>67</v>
      </c>
      <c r="S385" s="99" t="s">
        <v>68</v>
      </c>
      <c r="T385" s="167" t="s">
        <v>69</v>
      </c>
      <c r="U385" s="71" t="s">
        <v>33</v>
      </c>
      <c r="V385" s="99" t="s">
        <v>70</v>
      </c>
    </row>
    <row r="386" spans="1:34" x14ac:dyDescent="0.25">
      <c r="A386" s="3" t="s">
        <v>27</v>
      </c>
      <c r="B386" s="3">
        <v>0</v>
      </c>
      <c r="C386" s="3">
        <v>0.3</v>
      </c>
      <c r="D386" s="3">
        <v>243</v>
      </c>
      <c r="E386" s="3">
        <v>1.73</v>
      </c>
      <c r="F386" s="3">
        <v>5</v>
      </c>
      <c r="G386" s="169">
        <v>12</v>
      </c>
      <c r="H386" s="3">
        <v>1820</v>
      </c>
      <c r="I386" s="169">
        <v>19645</v>
      </c>
      <c r="J386" s="3">
        <v>20</v>
      </c>
      <c r="K386" s="3">
        <v>40</v>
      </c>
      <c r="L386" s="3">
        <v>500</v>
      </c>
      <c r="M386" s="3">
        <v>1000</v>
      </c>
      <c r="O386" s="168"/>
      <c r="P386" s="168"/>
      <c r="Q386" s="168"/>
      <c r="R386" s="72" t="s">
        <v>71</v>
      </c>
      <c r="S386" s="72" t="s">
        <v>71</v>
      </c>
      <c r="T386" s="168"/>
      <c r="U386" s="73">
        <v>500</v>
      </c>
      <c r="V386" s="3">
        <v>1.5</v>
      </c>
    </row>
    <row r="387" spans="1:34" x14ac:dyDescent="0.25">
      <c r="A387" s="3" t="s">
        <v>28</v>
      </c>
      <c r="B387" s="3">
        <v>0</v>
      </c>
      <c r="C387" s="3">
        <v>0.3</v>
      </c>
      <c r="D387" s="3">
        <v>254</v>
      </c>
      <c r="E387" s="3">
        <v>1.88</v>
      </c>
      <c r="F387" s="3">
        <v>3</v>
      </c>
      <c r="G387" s="170"/>
      <c r="H387" s="3">
        <v>2720</v>
      </c>
      <c r="I387" s="170"/>
      <c r="J387" s="5"/>
      <c r="K387" s="5"/>
      <c r="L387" s="5"/>
      <c r="M387" s="5"/>
      <c r="O387" s="74">
        <v>1</v>
      </c>
      <c r="P387" s="74">
        <v>106</v>
      </c>
      <c r="Q387" s="74">
        <v>110</v>
      </c>
      <c r="R387" s="74">
        <v>6</v>
      </c>
      <c r="S387" s="74">
        <v>5</v>
      </c>
      <c r="T387" s="74">
        <f>R387*$U$5/60+S387</f>
        <v>55</v>
      </c>
      <c r="U387" s="75"/>
    </row>
    <row r="388" spans="1:34" x14ac:dyDescent="0.25">
      <c r="A388" s="3" t="s">
        <v>29</v>
      </c>
      <c r="B388" s="3">
        <v>0</v>
      </c>
      <c r="C388" s="3">
        <v>0.3</v>
      </c>
      <c r="D388" s="3">
        <v>143</v>
      </c>
      <c r="E388" s="3">
        <v>2.4300000000000002</v>
      </c>
      <c r="F388" s="3">
        <v>8</v>
      </c>
      <c r="G388" s="170"/>
      <c r="H388" s="3">
        <v>3700</v>
      </c>
      <c r="I388" s="170"/>
      <c r="J388" s="5"/>
      <c r="K388" s="140" t="s">
        <v>73</v>
      </c>
      <c r="L388" s="141">
        <v>12</v>
      </c>
      <c r="M388" s="140" t="s">
        <v>74</v>
      </c>
      <c r="N388" s="141">
        <v>19645</v>
      </c>
      <c r="O388" s="74">
        <v>2</v>
      </c>
      <c r="P388" s="74">
        <v>76</v>
      </c>
      <c r="Q388" s="74">
        <v>40</v>
      </c>
      <c r="R388" s="74">
        <v>9</v>
      </c>
      <c r="S388" s="74">
        <v>2</v>
      </c>
      <c r="T388" s="74">
        <f t="shared" ref="T388:T390" si="40">R388*$U$5/60+S388</f>
        <v>77</v>
      </c>
      <c r="U388" s="75"/>
    </row>
    <row r="389" spans="1:34" x14ac:dyDescent="0.25">
      <c r="A389" s="3" t="s">
        <v>30</v>
      </c>
      <c r="B389" s="3">
        <v>0</v>
      </c>
      <c r="C389" s="3">
        <v>0.3</v>
      </c>
      <c r="D389" s="3">
        <v>449</v>
      </c>
      <c r="E389" s="3">
        <v>2.5299999999999998</v>
      </c>
      <c r="F389" s="3">
        <v>4</v>
      </c>
      <c r="G389" s="171"/>
      <c r="H389" s="3">
        <v>4320</v>
      </c>
      <c r="I389" s="171"/>
      <c r="J389" s="5"/>
      <c r="K389" s="140"/>
      <c r="L389" s="141"/>
      <c r="M389" s="140"/>
      <c r="N389" s="141"/>
      <c r="O389" s="74">
        <v>3</v>
      </c>
      <c r="P389" s="74">
        <v>95</v>
      </c>
      <c r="Q389" s="74">
        <v>67</v>
      </c>
      <c r="R389" s="74">
        <v>5</v>
      </c>
      <c r="S389" s="74">
        <v>4</v>
      </c>
      <c r="T389" s="74">
        <f t="shared" si="40"/>
        <v>45.666666666666664</v>
      </c>
      <c r="U389" s="75"/>
    </row>
    <row r="390" spans="1:34" ht="15.75" thickBo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O390" s="74">
        <v>4</v>
      </c>
      <c r="P390" s="74">
        <v>140</v>
      </c>
      <c r="Q390" s="94">
        <v>85</v>
      </c>
      <c r="R390" s="94">
        <v>8</v>
      </c>
      <c r="S390" s="94">
        <v>3</v>
      </c>
      <c r="T390" s="74">
        <f t="shared" si="40"/>
        <v>69.666666666666671</v>
      </c>
    </row>
    <row r="391" spans="1:34" ht="15" customHeight="1" x14ac:dyDescent="0.25">
      <c r="A391" s="142" t="s">
        <v>101</v>
      </c>
      <c r="B391" s="144" t="s">
        <v>107</v>
      </c>
      <c r="C391" s="144"/>
      <c r="D391" s="144"/>
      <c r="E391" s="144"/>
      <c r="F391" s="20" t="s">
        <v>27</v>
      </c>
      <c r="G391" s="20" t="s">
        <v>28</v>
      </c>
      <c r="H391" s="20" t="s">
        <v>29</v>
      </c>
      <c r="I391" s="20" t="s">
        <v>30</v>
      </c>
    </row>
    <row r="392" spans="1:34" ht="15.75" customHeight="1" thickBot="1" x14ac:dyDescent="0.3">
      <c r="A392" s="143"/>
      <c r="B392" s="145"/>
      <c r="C392" s="145"/>
      <c r="D392" s="145"/>
      <c r="E392" s="145"/>
      <c r="F392" s="20">
        <v>168</v>
      </c>
      <c r="G392" s="26">
        <v>84</v>
      </c>
      <c r="H392" s="26">
        <v>84</v>
      </c>
      <c r="I392" s="26">
        <v>252</v>
      </c>
    </row>
    <row r="393" spans="1:34" ht="15.75" customHeight="1" thickBot="1" x14ac:dyDescent="0.3">
      <c r="A393" s="143"/>
      <c r="B393" s="145"/>
      <c r="C393" s="145"/>
      <c r="D393" s="145"/>
      <c r="E393" s="145"/>
      <c r="F393" s="7"/>
      <c r="G393" s="146" t="s">
        <v>27</v>
      </c>
      <c r="H393" s="147"/>
      <c r="I393" s="147"/>
      <c r="J393" s="147"/>
      <c r="K393" s="148"/>
      <c r="L393" s="149" t="s">
        <v>28</v>
      </c>
      <c r="M393" s="150"/>
      <c r="N393" s="150"/>
      <c r="O393" s="150"/>
      <c r="P393" s="151"/>
      <c r="Q393" s="152" t="s">
        <v>29</v>
      </c>
      <c r="R393" s="153"/>
      <c r="S393" s="153"/>
      <c r="T393" s="153"/>
      <c r="U393" s="154"/>
      <c r="V393" s="155" t="s">
        <v>30</v>
      </c>
      <c r="W393" s="156"/>
      <c r="X393" s="156"/>
      <c r="Y393" s="156"/>
      <c r="Z393" s="157"/>
      <c r="AA393" s="158" t="s">
        <v>42</v>
      </c>
      <c r="AB393" s="159"/>
      <c r="AC393" s="160" t="s">
        <v>44</v>
      </c>
      <c r="AD393" s="162" t="s">
        <v>47</v>
      </c>
      <c r="AE393" s="163"/>
      <c r="AF393" s="163"/>
      <c r="AG393" s="164"/>
      <c r="AH393" s="138" t="s">
        <v>62</v>
      </c>
    </row>
    <row r="394" spans="1:34" ht="36.75" x14ac:dyDescent="0.25">
      <c r="A394" s="21" t="s">
        <v>32</v>
      </c>
      <c r="B394" s="22" t="s">
        <v>37</v>
      </c>
      <c r="C394" s="23" t="s">
        <v>33</v>
      </c>
      <c r="D394" s="22" t="s">
        <v>38</v>
      </c>
      <c r="E394" s="22" t="s">
        <v>34</v>
      </c>
      <c r="F394" s="25" t="s">
        <v>35</v>
      </c>
      <c r="G394" s="27" t="s">
        <v>39</v>
      </c>
      <c r="H394" s="10" t="s">
        <v>40</v>
      </c>
      <c r="I394" s="10" t="s">
        <v>45</v>
      </c>
      <c r="J394" s="10" t="s">
        <v>46</v>
      </c>
      <c r="K394" s="28" t="s">
        <v>41</v>
      </c>
      <c r="L394" s="30" t="s">
        <v>39</v>
      </c>
      <c r="M394" s="13" t="s">
        <v>40</v>
      </c>
      <c r="N394" s="13" t="s">
        <v>45</v>
      </c>
      <c r="O394" s="13" t="s">
        <v>46</v>
      </c>
      <c r="P394" s="31" t="s">
        <v>41</v>
      </c>
      <c r="Q394" s="33" t="s">
        <v>39</v>
      </c>
      <c r="R394" s="12" t="s">
        <v>40</v>
      </c>
      <c r="S394" s="12" t="s">
        <v>45</v>
      </c>
      <c r="T394" s="12" t="s">
        <v>46</v>
      </c>
      <c r="U394" s="34" t="s">
        <v>41</v>
      </c>
      <c r="V394" s="36" t="s">
        <v>39</v>
      </c>
      <c r="W394" s="11" t="s">
        <v>40</v>
      </c>
      <c r="X394" s="11" t="s">
        <v>45</v>
      </c>
      <c r="Y394" s="11" t="s">
        <v>46</v>
      </c>
      <c r="Z394" s="37" t="s">
        <v>41</v>
      </c>
      <c r="AA394" s="39" t="s">
        <v>41</v>
      </c>
      <c r="AB394" s="40" t="s">
        <v>43</v>
      </c>
      <c r="AC394" s="161"/>
      <c r="AD394" s="43" t="s">
        <v>27</v>
      </c>
      <c r="AE394" s="1" t="s">
        <v>28</v>
      </c>
      <c r="AF394" s="1" t="s">
        <v>29</v>
      </c>
      <c r="AG394" s="1" t="s">
        <v>30</v>
      </c>
      <c r="AH394" s="139"/>
    </row>
    <row r="395" spans="1:34" x14ac:dyDescent="0.25">
      <c r="A395" s="24">
        <v>1</v>
      </c>
      <c r="B395" s="9">
        <v>6</v>
      </c>
      <c r="C395" s="9">
        <v>500</v>
      </c>
      <c r="D395" s="9">
        <v>5</v>
      </c>
      <c r="E395" s="48">
        <f>B395*C395/60+D395</f>
        <v>55</v>
      </c>
      <c r="F395" s="100">
        <v>106</v>
      </c>
      <c r="G395" s="49">
        <f>B$5*(1-AD395*C$5)</f>
        <v>0</v>
      </c>
      <c r="H395" s="50">
        <f>G395+E395</f>
        <v>55</v>
      </c>
      <c r="I395" s="15">
        <f>(H395/D$5)^E$5</f>
        <v>7.6511831764011648E-2</v>
      </c>
      <c r="J395" s="15">
        <f>(G395/D$5)^E$5</f>
        <v>0</v>
      </c>
      <c r="K395" s="29">
        <f>1-EXP(J395-I395)</f>
        <v>7.3658046035411151E-2</v>
      </c>
      <c r="L395" s="51">
        <f>B$6*(1-AE395*C$6)</f>
        <v>0</v>
      </c>
      <c r="M395" s="52">
        <f>L395+E395</f>
        <v>55</v>
      </c>
      <c r="N395" s="17">
        <f>(M395/D$6)^E$6</f>
        <v>5.633709759436846E-2</v>
      </c>
      <c r="O395" s="17">
        <f>(L395/D$6)^E$6</f>
        <v>0</v>
      </c>
      <c r="P395" s="32">
        <f>1-EXP(O395-N395)</f>
        <v>5.4779549360660096E-2</v>
      </c>
      <c r="Q395" s="53">
        <f>B$7*(1-AF395*C$7)</f>
        <v>0</v>
      </c>
      <c r="R395" s="54">
        <f>Q395+E395</f>
        <v>55</v>
      </c>
      <c r="S395" s="16">
        <f>(R395/D$7)^E$7</f>
        <v>9.8087748172662498E-2</v>
      </c>
      <c r="T395" s="16">
        <f>(Q395/D$7)^E$7</f>
        <v>0</v>
      </c>
      <c r="U395" s="35">
        <f>1-EXP(T395-S395)</f>
        <v>9.3430649540250821E-2</v>
      </c>
      <c r="V395" s="55">
        <f>B$8*(1-AG395*C$8)</f>
        <v>0</v>
      </c>
      <c r="W395" s="56">
        <f>V395+E395</f>
        <v>55</v>
      </c>
      <c r="X395" s="18">
        <f>(W395/D$8)^E$8</f>
        <v>4.9309927237744132E-3</v>
      </c>
      <c r="Y395" s="18">
        <f>(V395/D$8)^E$8</f>
        <v>0</v>
      </c>
      <c r="Z395" s="38">
        <f>1-EXP(Y395-X395)</f>
        <v>4.9188553371368737E-3</v>
      </c>
      <c r="AA395" s="41">
        <f>K395*P395*U395*Z395</f>
        <v>1.8543515323034395E-6</v>
      </c>
      <c r="AB395" s="42">
        <f>1-AA395</f>
        <v>0.99999814564846767</v>
      </c>
      <c r="AC395" s="47">
        <f>(AD395*F$5+AE395*F$6+AF395*F$7+AG395*F$8)+E395</f>
        <v>55</v>
      </c>
      <c r="AD395" s="43">
        <v>0</v>
      </c>
      <c r="AE395" s="1">
        <v>0</v>
      </c>
      <c r="AF395" s="1">
        <v>0</v>
      </c>
      <c r="AG395" s="1">
        <v>0</v>
      </c>
      <c r="AH395" s="74">
        <v>110</v>
      </c>
    </row>
    <row r="396" spans="1:34" x14ac:dyDescent="0.25">
      <c r="A396" s="76">
        <v>4</v>
      </c>
      <c r="B396" s="58">
        <v>8</v>
      </c>
      <c r="C396" s="9">
        <v>500</v>
      </c>
      <c r="D396" s="58">
        <v>3</v>
      </c>
      <c r="E396" s="48">
        <f t="shared" ref="E396:E398" si="41">B396*C396/60+D396</f>
        <v>69.666666666666671</v>
      </c>
      <c r="F396" s="100">
        <v>140</v>
      </c>
      <c r="G396" s="49">
        <f>H395*(1-AD396*C$5)</f>
        <v>55</v>
      </c>
      <c r="H396" s="50">
        <f>G396+E396</f>
        <v>124.66666666666667</v>
      </c>
      <c r="I396" s="15">
        <f>(H396/D$5)^E$5</f>
        <v>0.31517317577772647</v>
      </c>
      <c r="J396" s="15">
        <f>(G396/D$5)^E$5</f>
        <v>7.6511831764011648E-2</v>
      </c>
      <c r="K396" s="29">
        <f>1-EXP(J396-I396)</f>
        <v>0.21231840970513827</v>
      </c>
      <c r="L396" s="51">
        <f>M395*(1-AE396*C$6)</f>
        <v>55</v>
      </c>
      <c r="M396" s="52">
        <f>L396+E396</f>
        <v>124.66666666666667</v>
      </c>
      <c r="N396" s="17">
        <f>(M396/D$6)^E$6</f>
        <v>0.26237549202961352</v>
      </c>
      <c r="O396" s="17">
        <f>(L396/D$6)^E$6</f>
        <v>5.633709759436846E-2</v>
      </c>
      <c r="P396" s="32">
        <f>1-EXP(O396-N396)</f>
        <v>0.18619816977858561</v>
      </c>
      <c r="Q396" s="53">
        <f>R395*(1-AF396*C$7)</f>
        <v>55</v>
      </c>
      <c r="R396" s="54">
        <f>Q396+E396</f>
        <v>124.66666666666667</v>
      </c>
      <c r="S396" s="16">
        <f>(R396/D$7)^E$7</f>
        <v>0.71648445673009076</v>
      </c>
      <c r="T396" s="16">
        <f>(Q396/D$7)^E$7</f>
        <v>9.8087748172662498E-2</v>
      </c>
      <c r="U396" s="35">
        <f>1-EXP(T396-S396)</f>
        <v>0.46119238891751968</v>
      </c>
      <c r="V396" s="55">
        <f>W395*(1-AG396*C$8)</f>
        <v>55</v>
      </c>
      <c r="W396" s="56">
        <f>V396+E396</f>
        <v>124.66666666666667</v>
      </c>
      <c r="X396" s="18">
        <f>(W396/D$8)^E$8</f>
        <v>3.9089951931753103E-2</v>
      </c>
      <c r="Y396" s="18">
        <f>(V396/D$8)^E$8</f>
        <v>4.9309927237744132E-3</v>
      </c>
      <c r="Z396" s="38">
        <f>1-EXP(Y396-X396)</f>
        <v>3.3582128592293481E-2</v>
      </c>
      <c r="AA396" s="41">
        <f>K396*P396*U396*Z396</f>
        <v>6.1228470695588017E-4</v>
      </c>
      <c r="AB396" s="42">
        <f>1-AA396</f>
        <v>0.99938771529304415</v>
      </c>
      <c r="AC396" s="47">
        <f>AF396*F$7+E396+AC395</f>
        <v>124.66666666666667</v>
      </c>
      <c r="AD396" s="43">
        <v>0</v>
      </c>
      <c r="AE396" s="1">
        <v>0</v>
      </c>
      <c r="AF396" s="1">
        <v>0</v>
      </c>
      <c r="AG396" s="1">
        <v>0</v>
      </c>
      <c r="AH396" s="74">
        <v>85</v>
      </c>
    </row>
    <row r="397" spans="1:34" x14ac:dyDescent="0.25">
      <c r="A397" s="24">
        <v>2</v>
      </c>
      <c r="B397" s="9">
        <v>9</v>
      </c>
      <c r="C397" s="58">
        <v>500</v>
      </c>
      <c r="D397" s="58">
        <v>2</v>
      </c>
      <c r="E397" s="48">
        <f t="shared" si="41"/>
        <v>77</v>
      </c>
      <c r="F397" s="100">
        <v>76</v>
      </c>
      <c r="G397" s="68">
        <f>H396*(1-AD397*C$5)</f>
        <v>124.66666666666667</v>
      </c>
      <c r="H397" s="69">
        <f>G397+E397</f>
        <v>201.66666666666669</v>
      </c>
      <c r="I397" s="70">
        <f>(H397/D$5)^E$5</f>
        <v>0.72429948125597088</v>
      </c>
      <c r="J397" s="70">
        <f>(G397/D$5)^E$5</f>
        <v>0.31517317577772647</v>
      </c>
      <c r="K397" s="29">
        <f>1-EXP(J397-I397)</f>
        <v>0.33576966890589732</v>
      </c>
      <c r="L397" s="51">
        <f>M396*(1-AE397*C$6)</f>
        <v>87.266666666666666</v>
      </c>
      <c r="M397" s="52">
        <f>L397+E397</f>
        <v>164.26666666666665</v>
      </c>
      <c r="N397" s="17">
        <f>(M397/D$6)^E$6</f>
        <v>0.4407025549284625</v>
      </c>
      <c r="O397" s="17">
        <f>(L397/D$6)^E$6</f>
        <v>0.13418611561976262</v>
      </c>
      <c r="P397" s="32">
        <f>1-EXP(O397-N397)</f>
        <v>0.26399358135681483</v>
      </c>
      <c r="Q397" s="53">
        <f>R396*(1-AF397*C$7)</f>
        <v>87.266666666666666</v>
      </c>
      <c r="R397" s="54">
        <f>Q397+E397</f>
        <v>164.26666666666665</v>
      </c>
      <c r="S397" s="16">
        <f>(R397/D$7)^E$7</f>
        <v>1.400614373673216</v>
      </c>
      <c r="T397" s="16">
        <f>(Q397/D$7)^E$7</f>
        <v>0.30115842040528412</v>
      </c>
      <c r="U397" s="35">
        <f>1-EXP(T397-S397)</f>
        <v>0.66694776960496838</v>
      </c>
      <c r="V397" s="55">
        <f>W396*(1-AG397*C$8)</f>
        <v>124.66666666666667</v>
      </c>
      <c r="W397" s="56">
        <f>V397+E397</f>
        <v>201.66666666666669</v>
      </c>
      <c r="X397" s="18">
        <f>(W397/D$8)^E$8</f>
        <v>0.13199001575183039</v>
      </c>
      <c r="Y397" s="18">
        <f>(V397/D$8)^E$8</f>
        <v>3.9089951931753103E-2</v>
      </c>
      <c r="Z397" s="38">
        <f>1-EXP(Y397-X397)</f>
        <v>8.8715433955963707E-2</v>
      </c>
      <c r="AA397" s="41">
        <f>K397*P397*U397*Z397</f>
        <v>5.2447626116732511E-3</v>
      </c>
      <c r="AB397" s="42">
        <f>1-AA397</f>
        <v>0.99475523738832672</v>
      </c>
      <c r="AC397" s="47">
        <f>(AF397*F$7)+E397+AC396</f>
        <v>209.66666666666669</v>
      </c>
      <c r="AD397" s="77">
        <v>0</v>
      </c>
      <c r="AE397" s="78">
        <v>1</v>
      </c>
      <c r="AF397" s="78">
        <v>1</v>
      </c>
      <c r="AG397" s="78">
        <v>0</v>
      </c>
      <c r="AH397" s="74">
        <v>40</v>
      </c>
    </row>
    <row r="398" spans="1:34" ht="15.75" thickBot="1" x14ac:dyDescent="0.3">
      <c r="A398" s="57">
        <v>3</v>
      </c>
      <c r="B398" s="58">
        <v>5</v>
      </c>
      <c r="C398" s="58">
        <v>500</v>
      </c>
      <c r="D398" s="9">
        <v>4</v>
      </c>
      <c r="E398" s="48">
        <f t="shared" si="41"/>
        <v>45.666666666666664</v>
      </c>
      <c r="F398" s="100">
        <v>95</v>
      </c>
      <c r="G398" s="68">
        <f>H397*(1-AD398*C$5)</f>
        <v>141.16666666666666</v>
      </c>
      <c r="H398" s="69">
        <f>G398+E398</f>
        <v>186.83333333333331</v>
      </c>
      <c r="I398" s="70">
        <f>(H398/D$5)^E$5</f>
        <v>0.63462502467785764</v>
      </c>
      <c r="J398" s="70">
        <f>(G398/D$5)^E$5</f>
        <v>0.39078490830583607</v>
      </c>
      <c r="K398" s="29">
        <f>1-EXP(J398-I398)</f>
        <v>0.21638708887710267</v>
      </c>
      <c r="L398" s="51">
        <f>M397*(1-AE398*C$6)</f>
        <v>114.98666666666665</v>
      </c>
      <c r="M398" s="52">
        <f>L398+E398</f>
        <v>160.65333333333331</v>
      </c>
      <c r="N398" s="17">
        <f>(M398/D$6)^E$6</f>
        <v>0.42265433313983669</v>
      </c>
      <c r="O398" s="17">
        <f>(L398/D$6)^E$6</f>
        <v>0.22538752965113423</v>
      </c>
      <c r="P398" s="32">
        <f>1-EXP(O398-N398)</f>
        <v>0.17902843398794011</v>
      </c>
      <c r="Q398" s="53">
        <f>R397*(1-AF398*C$7)</f>
        <v>114.98666666666665</v>
      </c>
      <c r="R398" s="54">
        <f>Q398+E398</f>
        <v>160.65333333333331</v>
      </c>
      <c r="S398" s="16">
        <f>(R398/D$7)^E$7</f>
        <v>1.3269223205942826</v>
      </c>
      <c r="T398" s="16">
        <f>(Q398/D$7)^E$7</f>
        <v>0.58871732444471214</v>
      </c>
      <c r="U398" s="35">
        <f>1-EXP(T398-S398)</f>
        <v>0.52202889406362218</v>
      </c>
      <c r="V398" s="55">
        <f>W397*(1-AG398*C$8)</f>
        <v>201.66666666666669</v>
      </c>
      <c r="W398" s="56">
        <f>V398+E398</f>
        <v>247.33333333333334</v>
      </c>
      <c r="X398" s="18">
        <f>(W398/D$8)^E$8</f>
        <v>0.22121871391987213</v>
      </c>
      <c r="Y398" s="18">
        <f>(V398/D$8)^E$8</f>
        <v>0.13199001575183039</v>
      </c>
      <c r="Z398" s="38">
        <f>1-EXP(Y398-X398)</f>
        <v>8.5363626009572924E-2</v>
      </c>
      <c r="AA398" s="41">
        <f>K398*P398*U398*Z398</f>
        <v>1.7263178182277475E-3</v>
      </c>
      <c r="AB398" s="42">
        <f>1-AA398</f>
        <v>0.99827368218177226</v>
      </c>
      <c r="AC398" s="47">
        <f>(AF398*F$7)+E398+AC397</f>
        <v>263.33333333333337</v>
      </c>
      <c r="AD398" s="80">
        <v>1</v>
      </c>
      <c r="AE398" s="45">
        <v>1</v>
      </c>
      <c r="AF398" s="81">
        <v>1</v>
      </c>
      <c r="AG398" s="45">
        <v>0</v>
      </c>
      <c r="AH398" s="94">
        <v>67</v>
      </c>
    </row>
    <row r="399" spans="1:34" ht="18.75" x14ac:dyDescent="0.3">
      <c r="A399" s="132" t="s">
        <v>53</v>
      </c>
      <c r="B399" s="132"/>
      <c r="C399" s="132"/>
      <c r="D399" s="132"/>
      <c r="E399" s="132"/>
      <c r="F399" s="132"/>
      <c r="G399" s="132"/>
      <c r="H399" s="132"/>
      <c r="I399" s="132"/>
      <c r="J399" s="132"/>
      <c r="AG399" s="46"/>
    </row>
    <row r="400" spans="1:34" ht="15.75" x14ac:dyDescent="0.25">
      <c r="A400" s="19" t="s">
        <v>58</v>
      </c>
      <c r="B400" s="60" t="s">
        <v>49</v>
      </c>
      <c r="C400" s="61" t="s">
        <v>50</v>
      </c>
      <c r="D400" s="19" t="s">
        <v>82</v>
      </c>
      <c r="E400" s="60" t="s">
        <v>57</v>
      </c>
      <c r="F400" s="61" t="s">
        <v>50</v>
      </c>
      <c r="G400" s="19" t="s">
        <v>48</v>
      </c>
      <c r="H400" s="60" t="s">
        <v>61</v>
      </c>
      <c r="I400" s="61" t="s">
        <v>50</v>
      </c>
      <c r="J400" s="19" t="s">
        <v>54</v>
      </c>
      <c r="K400" s="83" t="s">
        <v>84</v>
      </c>
      <c r="L400" s="61" t="s">
        <v>50</v>
      </c>
      <c r="M400" s="61" t="s">
        <v>85</v>
      </c>
      <c r="O400" s="174" t="s">
        <v>64</v>
      </c>
      <c r="P400" s="174"/>
      <c r="Q400" s="175" t="s">
        <v>109</v>
      </c>
      <c r="R400" s="175"/>
    </row>
    <row r="401" spans="1:20" ht="24.75" x14ac:dyDescent="0.25">
      <c r="A401" s="61" t="s">
        <v>51</v>
      </c>
      <c r="B401" s="1">
        <f>AA395</f>
        <v>1.8543515323034395E-6</v>
      </c>
      <c r="C401" s="59">
        <f>MAX(AC395+1*L388-F395,0)</f>
        <v>0</v>
      </c>
      <c r="D401" s="62" t="s">
        <v>55</v>
      </c>
      <c r="E401" s="1">
        <f>AA395*AA396</f>
        <v>1.1353910845495988E-9</v>
      </c>
      <c r="F401" s="1">
        <f>MAX(AC396+2*L388-F396,0)</f>
        <v>8.6666666666666856</v>
      </c>
      <c r="G401" s="62" t="s">
        <v>59</v>
      </c>
      <c r="H401" s="1">
        <f>AA395*AA396*AA397</f>
        <v>5.9548567098728789E-12</v>
      </c>
      <c r="I401" s="1">
        <f>AC397+3*L388-F397</f>
        <v>169.66666666666669</v>
      </c>
      <c r="J401" s="62" t="s">
        <v>83</v>
      </c>
      <c r="K401" s="1">
        <f>AA395*AA396*AA397*AA398</f>
        <v>1.027997524324661E-14</v>
      </c>
      <c r="L401" s="1">
        <f>AC398+4*L388-F398</f>
        <v>216.33333333333337</v>
      </c>
      <c r="M401" s="1">
        <f>B401*C401*AH395+E401*F401*AH396+H401*I401*AH397+K401*L401*AH398</f>
        <v>8.76967394543711E-7</v>
      </c>
      <c r="O401" s="1" t="s">
        <v>27</v>
      </c>
      <c r="P401" s="1">
        <f>H386</f>
        <v>1820</v>
      </c>
      <c r="Q401" s="1">
        <f>(K395*(1-P395)*(1-U395)*(1-Z395))+(P395*(1-K395)*(1-U395)*(1-Z395))+(U395*(1-K395)*(1-P395)*(1-Z395))+(Z395*(1-K395)*(1-P395)*(1-U395))</f>
        <v>0.19389466846386108</v>
      </c>
      <c r="R401" s="1">
        <f>Q401*(L$7*(J$5*K$5+L$5)+I$5)</f>
        <v>6833.8175900087836</v>
      </c>
    </row>
    <row r="402" spans="1:20" ht="24.75" x14ac:dyDescent="0.25">
      <c r="A402" s="62" t="s">
        <v>52</v>
      </c>
      <c r="B402" s="1">
        <f>AB395</f>
        <v>0.99999814564846767</v>
      </c>
      <c r="C402" s="59">
        <f>MAX(AC395-F395,0)</f>
        <v>0</v>
      </c>
      <c r="D402" s="62" t="s">
        <v>56</v>
      </c>
      <c r="E402" s="1">
        <f>AA395*AB396+AA396*AB395</f>
        <v>6.141367877060145E-4</v>
      </c>
      <c r="F402" s="1">
        <f>MAX(AC396+1*L388-F396,0)</f>
        <v>0</v>
      </c>
      <c r="G402" s="62" t="s">
        <v>60</v>
      </c>
      <c r="H402" s="1">
        <f>AA395*AA396*AB397+AA396*AA397*AB395+AA395*AA397*AB396</f>
        <v>3.2221310988414573E-6</v>
      </c>
      <c r="I402" s="1">
        <f>AC397+2*L388-F397</f>
        <v>157.66666666666669</v>
      </c>
      <c r="J402" s="62" t="s">
        <v>59</v>
      </c>
      <c r="K402">
        <f>AB395*AA396*AA397*AA398+AB396*AA395*AA397*AA398*+AB397*AA395*AA396*AA398+AB398*AA395*AA396*AA397</f>
        <v>5.5496378848687495E-9</v>
      </c>
      <c r="L402" s="1">
        <f>AC398+3*L388-F398</f>
        <v>204.33333333333337</v>
      </c>
      <c r="M402" s="1">
        <f>B402*C402*AH395+E402*F402*AH396+H402*I402*AH397+K402*L402*AH398</f>
        <v>2.0396883189216605E-2</v>
      </c>
      <c r="O402" s="1" t="s">
        <v>28</v>
      </c>
      <c r="P402" s="1">
        <f>2*H387</f>
        <v>5440</v>
      </c>
      <c r="Q402" s="1">
        <f t="shared" ref="Q402:Q404" si="42">(K396*(1-P396)*(1-U396)*(1-Z396))+(P396*(1-K396)*(1-U396)*(1-Z396))+(U396*(1-K396)*(1-P396)*(1-Z396))+(Z396*(1-K396)*(1-P396)*(1-U396))</f>
        <v>0.46364468761225525</v>
      </c>
      <c r="R402" s="1">
        <f t="shared" ref="R402:R404" si="43">Q402*(L$7*(J$5*K$5+L$5)+I$5)</f>
        <v>16341.157014893935</v>
      </c>
    </row>
    <row r="403" spans="1:20" ht="24.75" x14ac:dyDescent="0.25">
      <c r="A403" s="1"/>
      <c r="B403" s="1"/>
      <c r="C403" s="1"/>
      <c r="D403" s="62" t="s">
        <v>52</v>
      </c>
      <c r="E403" s="1">
        <f>AB395*AB396</f>
        <v>0.99938586207690294</v>
      </c>
      <c r="F403" s="59">
        <f>MAX(AC396-F396,0)</f>
        <v>0</v>
      </c>
      <c r="G403" s="62" t="s">
        <v>56</v>
      </c>
      <c r="H403" s="1">
        <f>AA395*AB396*AB397+AA396*AB395*AB397*+AA397*AB395*AB396</f>
        <v>5.03597420820593E-6</v>
      </c>
      <c r="I403" s="1">
        <f>AC397+1*L388-F397</f>
        <v>145.66666666666669</v>
      </c>
      <c r="J403" s="62" t="s">
        <v>60</v>
      </c>
      <c r="K403" s="1">
        <f>AA395*AA396*AB397*AB398 + AA395*AA397*AB396*AB398 + AA395*AA398*AB396*AB397 + AA396*AA397*AB395*AB398 + AA396*AA398*AB395*AB397 + AA397*AA398*AB395*AB396</f>
        <v>1.3319770149459738E-5</v>
      </c>
      <c r="L403" s="1">
        <f>AC398+2*L388-F398</f>
        <v>192.33333333333337</v>
      </c>
      <c r="M403" s="1">
        <f>B403*C403*AH395+E403*F403*AH396+H403*I403*AH397+K403*L403*AH398</f>
        <v>0.20098594112246793</v>
      </c>
      <c r="O403" s="1" t="s">
        <v>29</v>
      </c>
      <c r="P403" s="1">
        <f>2*(F388*(J386*K386+L386)+H388)</f>
        <v>28200</v>
      </c>
      <c r="Q403" s="1">
        <f t="shared" si="42"/>
        <v>0.4397998647161046</v>
      </c>
      <c r="R403" s="1">
        <f t="shared" si="43"/>
        <v>15500.746231919107</v>
      </c>
    </row>
    <row r="404" spans="1:20" ht="24.75" x14ac:dyDescent="0.25">
      <c r="A404" s="1"/>
      <c r="B404" s="1"/>
      <c r="C404" s="1"/>
      <c r="D404" s="1"/>
      <c r="E404" s="1"/>
      <c r="F404" s="1"/>
      <c r="G404" s="62" t="s">
        <v>52</v>
      </c>
      <c r="H404" s="1">
        <f>AB395*AB396*AB397</f>
        <v>0.99414432047284718</v>
      </c>
      <c r="I404" s="63">
        <f>AC397-F397</f>
        <v>133.66666666666669</v>
      </c>
      <c r="J404" s="62" t="s">
        <v>56</v>
      </c>
      <c r="K404" s="1">
        <f>AA395*AB396*AB397*AB398+AA396*AB395*AB397*AB398+AA397*AB395*AB396*AB398+AA398*AB395*AB396*AB397</f>
        <v>7.5585632429484278E-3</v>
      </c>
      <c r="L404" s="1">
        <f>AC398+1*L388-F398</f>
        <v>180.33333333333337</v>
      </c>
      <c r="M404" s="1">
        <f>B404*C404*AH395+E404*F404*AH396+H404*I404*AH397+K404*L404*AH398</f>
        <v>5406.6833807505409</v>
      </c>
      <c r="O404" s="1" t="s">
        <v>30</v>
      </c>
      <c r="P404" s="1">
        <v>0</v>
      </c>
      <c r="Q404" s="1">
        <f t="shared" si="42"/>
        <v>0.47240646014151372</v>
      </c>
      <c r="R404" s="1">
        <f t="shared" si="43"/>
        <v>16649.965687687651</v>
      </c>
    </row>
    <row r="405" spans="1:20" ht="30" x14ac:dyDescent="0.25">
      <c r="I405" s="84"/>
      <c r="J405" s="62" t="s">
        <v>52</v>
      </c>
      <c r="K405" s="85">
        <f>AB395*AB396*AB397*AB398</f>
        <v>0.99242811141852494</v>
      </c>
      <c r="L405" s="1">
        <f>AC398+0*L388-F398</f>
        <v>168.33333333333337</v>
      </c>
      <c r="M405" s="1">
        <f>B405*C405*AH395+E405*F405*AH396+H405*I405*AH397+K405*L405*AH398</f>
        <v>11192.935049948599</v>
      </c>
      <c r="O405" s="64" t="s">
        <v>65</v>
      </c>
      <c r="P405" s="65">
        <f>SUM(P401:P404)</f>
        <v>35460</v>
      </c>
      <c r="Q405" s="96" t="s">
        <v>108</v>
      </c>
      <c r="R405" s="97">
        <f>SUM(R401:R404)</f>
        <v>55325.686524509481</v>
      </c>
    </row>
    <row r="406" spans="1:20" x14ac:dyDescent="0.25">
      <c r="L406" s="176" t="s">
        <v>63</v>
      </c>
      <c r="M406" s="177">
        <f>SUM(M401:M405)</f>
        <v>16599.839814400417</v>
      </c>
    </row>
    <row r="407" spans="1:20" x14ac:dyDescent="0.25">
      <c r="L407" s="176"/>
      <c r="M407" s="177"/>
    </row>
    <row r="408" spans="1:20" x14ac:dyDescent="0.25">
      <c r="A408" s="178" t="s">
        <v>90</v>
      </c>
      <c r="B408" s="178"/>
      <c r="C408" s="178"/>
      <c r="D408" s="178"/>
      <c r="E408" s="178"/>
      <c r="F408" s="178"/>
      <c r="G408" s="178"/>
      <c r="H408" s="178"/>
      <c r="I408" s="178"/>
      <c r="J408" s="178"/>
      <c r="K408" s="178"/>
      <c r="L408" s="178"/>
      <c r="M408" s="178"/>
      <c r="N408" s="178"/>
    </row>
    <row r="409" spans="1:20" ht="15.75" x14ac:dyDescent="0.25">
      <c r="A409" s="87" t="s">
        <v>77</v>
      </c>
      <c r="B409" s="62" t="s">
        <v>49</v>
      </c>
      <c r="C409" s="90" t="s">
        <v>78</v>
      </c>
      <c r="D409" s="62" t="s">
        <v>88</v>
      </c>
      <c r="E409" s="87" t="s">
        <v>86</v>
      </c>
      <c r="F409" s="62" t="s">
        <v>57</v>
      </c>
      <c r="G409" s="90" t="s">
        <v>103</v>
      </c>
      <c r="H409" s="62" t="s">
        <v>88</v>
      </c>
      <c r="I409" s="87" t="s">
        <v>75</v>
      </c>
      <c r="J409" s="62" t="s">
        <v>61</v>
      </c>
      <c r="K409" s="90" t="s">
        <v>87</v>
      </c>
      <c r="L409" s="62" t="s">
        <v>88</v>
      </c>
      <c r="M409" s="87" t="s">
        <v>76</v>
      </c>
      <c r="N409" s="62" t="s">
        <v>84</v>
      </c>
      <c r="O409" s="90" t="s">
        <v>102</v>
      </c>
      <c r="P409" s="62" t="s">
        <v>88</v>
      </c>
    </row>
    <row r="410" spans="1:20" ht="24.75" x14ac:dyDescent="0.25">
      <c r="A410" s="62" t="s">
        <v>51</v>
      </c>
      <c r="B410" s="86">
        <v>1.8543515323034395E-6</v>
      </c>
      <c r="C410" s="86">
        <f>AC395+1*L388</f>
        <v>67</v>
      </c>
      <c r="D410" s="86">
        <f>MAX(B410*1.5*((C410-F395)*500/2),0)</f>
        <v>0</v>
      </c>
      <c r="E410" s="62" t="s">
        <v>55</v>
      </c>
      <c r="F410" s="86">
        <v>1.1353910845495988E-9</v>
      </c>
      <c r="G410" s="86">
        <f>AC396+2*L388</f>
        <v>148.66666666666669</v>
      </c>
      <c r="H410" s="86">
        <f>F410*1.5*((G410-F396)*500/2+(G410-F397)*500+(G410-F398)*500)</f>
        <v>1.1126832628586072E-4</v>
      </c>
      <c r="I410" s="62" t="s">
        <v>59</v>
      </c>
      <c r="J410" s="86">
        <v>5.9548567098728789E-12</v>
      </c>
      <c r="K410" s="86">
        <f>AC397+3*L388</f>
        <v>245.66666666666669</v>
      </c>
      <c r="L410" s="86">
        <f>J410*1.5*((K410-G410)*500/2+(K410-G410)*500)</f>
        <v>6.4982373846487798E-7</v>
      </c>
      <c r="M410" s="62" t="s">
        <v>83</v>
      </c>
      <c r="N410" s="86">
        <v>1.027997524324661E-14</v>
      </c>
      <c r="O410" s="86">
        <f>AC398+4*L388</f>
        <v>311.33333333333337</v>
      </c>
      <c r="P410" s="86">
        <f>N410*1.5*((O410-K410)*500/2)</f>
        <v>2.5314439036494783E-10</v>
      </c>
    </row>
    <row r="411" spans="1:20" ht="24.75" x14ac:dyDescent="0.25">
      <c r="A411" s="62" t="s">
        <v>52</v>
      </c>
      <c r="B411" s="86">
        <v>0.99999814564846767</v>
      </c>
      <c r="C411" s="88">
        <f>AC395</f>
        <v>55</v>
      </c>
      <c r="D411" s="86">
        <f>MAX(B411*1.5*((C411-F395)*500/2),0)</f>
        <v>0</v>
      </c>
      <c r="E411" s="62" t="s">
        <v>56</v>
      </c>
      <c r="F411" s="86">
        <v>6.141367877060145E-4</v>
      </c>
      <c r="G411" s="86">
        <f>AC396+1*L388</f>
        <v>136.66666666666669</v>
      </c>
      <c r="H411" s="86">
        <f>F411*1.5*((G411-F396)*500/2+(G411-F397)*500+(G411-F398)*500)</f>
        <v>46.367327471804117</v>
      </c>
      <c r="I411" s="62" t="s">
        <v>60</v>
      </c>
      <c r="J411" s="86">
        <v>3.2221310988414573E-6</v>
      </c>
      <c r="K411" s="86">
        <f>AC397+2*L388</f>
        <v>233.66666666666669</v>
      </c>
      <c r="L411" s="86">
        <f>J411*1.5*((K411-G411)*500/2+(K411-G411)*500)</f>
        <v>0.35161505616107402</v>
      </c>
      <c r="M411" s="62" t="s">
        <v>59</v>
      </c>
      <c r="N411" s="86">
        <v>5.5496378848687495E-9</v>
      </c>
      <c r="O411" s="86">
        <f>AC398+3*L388</f>
        <v>299.33333333333337</v>
      </c>
      <c r="P411" s="86">
        <f>N411*1.5*((O411-K411)*500/2)</f>
        <v>1.3665983291489297E-4</v>
      </c>
    </row>
    <row r="412" spans="1:20" x14ac:dyDescent="0.25">
      <c r="A412" s="86"/>
      <c r="B412" s="86"/>
      <c r="C412" s="89" t="s">
        <v>89</v>
      </c>
      <c r="D412" s="89">
        <f>SUM(D410:D411)</f>
        <v>0</v>
      </c>
      <c r="E412" s="62" t="s">
        <v>52</v>
      </c>
      <c r="F412" s="86">
        <v>0.99938586207690294</v>
      </c>
      <c r="G412" s="86">
        <f>AC396+0*L388</f>
        <v>124.66666666666667</v>
      </c>
      <c r="H412" s="86">
        <f>F412*1.5*((G412-F397)*500+(G412-F398)*500)</f>
        <v>58713.919397018057</v>
      </c>
      <c r="I412" s="62" t="s">
        <v>56</v>
      </c>
      <c r="J412" s="86">
        <v>5.03597420820593E-6</v>
      </c>
      <c r="K412" s="86">
        <f>AC397+1*L388</f>
        <v>221.66666666666669</v>
      </c>
      <c r="L412" s="86">
        <f>J412*1.5*((K412-G412)*500/2+(K412-G412)*500)</f>
        <v>0.54955068547047226</v>
      </c>
      <c r="M412" s="62" t="s">
        <v>60</v>
      </c>
      <c r="N412" s="86">
        <v>1.3319770149459738E-5</v>
      </c>
      <c r="O412" s="86">
        <f>AC398+2*L388</f>
        <v>287.33333333333337</v>
      </c>
      <c r="P412" s="86">
        <f>N412*1.5*((O412-K412)*500/2)</f>
        <v>0.32799933993044617</v>
      </c>
    </row>
    <row r="413" spans="1:20" x14ac:dyDescent="0.25">
      <c r="A413" s="86"/>
      <c r="B413" s="86"/>
      <c r="C413" s="86"/>
      <c r="D413" s="86"/>
      <c r="E413" s="86"/>
      <c r="F413" s="86"/>
      <c r="G413" s="89" t="s">
        <v>79</v>
      </c>
      <c r="H413" s="89">
        <f>SUM(H410:H412)</f>
        <v>58760.28683575819</v>
      </c>
      <c r="I413" s="62" t="s">
        <v>52</v>
      </c>
      <c r="J413" s="86">
        <v>0.99414432047284718</v>
      </c>
      <c r="K413" s="86">
        <f>AC397+0*L388</f>
        <v>209.66666666666669</v>
      </c>
      <c r="L413" s="86">
        <f>J413*1.5*((K413-G412)*500/2+(K413-G412)*500)</f>
        <v>95065.050645216033</v>
      </c>
      <c r="M413" s="62" t="s">
        <v>56</v>
      </c>
      <c r="N413" s="86">
        <v>7.5585632429484278E-3</v>
      </c>
      <c r="O413" s="86">
        <f>AC398+1*L388</f>
        <v>275.33333333333337</v>
      </c>
      <c r="P413" s="86">
        <f>N413*1.5*((O413-K413)*500/2)</f>
        <v>186.12961985760506</v>
      </c>
    </row>
    <row r="414" spans="1:20" x14ac:dyDescent="0.25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9" t="s">
        <v>79</v>
      </c>
      <c r="L414" s="89">
        <f>SUM(L410:L413)</f>
        <v>95065.951811607491</v>
      </c>
      <c r="M414" s="62" t="s">
        <v>52</v>
      </c>
      <c r="N414" s="86">
        <v>0.99242811141852494</v>
      </c>
      <c r="O414" s="86">
        <f>AC398+0*L388</f>
        <v>263.33333333333337</v>
      </c>
      <c r="P414" s="86">
        <f>N414*1.5*((O414-K413)*500/2)</f>
        <v>19972.615742297821</v>
      </c>
      <c r="Q414" s="179" t="s">
        <v>80</v>
      </c>
      <c r="R414" s="179"/>
      <c r="S414" s="180">
        <f>D412+H413+L414+P415</f>
        <v>173985.31214552111</v>
      </c>
      <c r="T414" s="180"/>
    </row>
    <row r="415" spans="1:20" x14ac:dyDescent="0.25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9" t="s">
        <v>79</v>
      </c>
      <c r="P415" s="89">
        <f>SUM(P410:P414)</f>
        <v>20159.073498155441</v>
      </c>
      <c r="Q415" s="179"/>
      <c r="R415" s="179"/>
      <c r="S415" s="180"/>
      <c r="T415" s="180"/>
    </row>
    <row r="416" spans="1:20" x14ac:dyDescent="0.25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</row>
    <row r="417" spans="1:34" x14ac:dyDescent="0.25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</row>
    <row r="418" spans="1:34" x14ac:dyDescent="0.25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</row>
    <row r="419" spans="1:34" ht="24.75" thickBot="1" x14ac:dyDescent="0.3">
      <c r="O419" s="131" t="s">
        <v>81</v>
      </c>
      <c r="P419" s="131"/>
      <c r="Q419" s="131">
        <f>(R405+P405+M406+S414)/AC398</f>
        <v>1068.4968550041683</v>
      </c>
      <c r="R419" s="131"/>
    </row>
    <row r="420" spans="1:34" x14ac:dyDescent="0.25">
      <c r="A420" s="181" t="s">
        <v>116</v>
      </c>
      <c r="B420" s="182"/>
    </row>
    <row r="421" spans="1:34" ht="15.75" thickBot="1" x14ac:dyDescent="0.3">
      <c r="A421" s="183"/>
      <c r="B421" s="184"/>
    </row>
    <row r="422" spans="1:34" ht="21" x14ac:dyDescent="0.35">
      <c r="A422" s="185" t="s">
        <v>14</v>
      </c>
      <c r="B422" s="185"/>
      <c r="C422" s="165"/>
      <c r="D422" s="165"/>
      <c r="E422" s="165"/>
      <c r="F422" s="165"/>
      <c r="G422" s="165"/>
      <c r="H422" s="165"/>
      <c r="I422" s="165"/>
      <c r="J422" s="165"/>
      <c r="K422" s="165"/>
      <c r="L422" s="165"/>
      <c r="M422" s="165"/>
      <c r="O422" s="166" t="s">
        <v>72</v>
      </c>
      <c r="P422" s="166"/>
      <c r="Q422" s="166"/>
      <c r="R422" s="166"/>
      <c r="S422" s="166"/>
      <c r="T422" s="166"/>
      <c r="U422" s="166"/>
      <c r="V422" s="166"/>
    </row>
    <row r="423" spans="1:34" ht="36" x14ac:dyDescent="0.25">
      <c r="A423" s="4" t="s">
        <v>15</v>
      </c>
      <c r="B423" s="4" t="s">
        <v>16</v>
      </c>
      <c r="C423" s="4" t="s">
        <v>31</v>
      </c>
      <c r="D423" s="6" t="s">
        <v>17</v>
      </c>
      <c r="E423" s="6" t="s">
        <v>18</v>
      </c>
      <c r="F423" s="6" t="s">
        <v>19</v>
      </c>
      <c r="G423" s="6" t="s">
        <v>20</v>
      </c>
      <c r="H423" s="6" t="s">
        <v>21</v>
      </c>
      <c r="I423" s="6" t="s">
        <v>22</v>
      </c>
      <c r="J423" s="6" t="s">
        <v>23</v>
      </c>
      <c r="K423" s="6" t="s">
        <v>24</v>
      </c>
      <c r="L423" s="6" t="s">
        <v>25</v>
      </c>
      <c r="M423" s="6" t="s">
        <v>26</v>
      </c>
      <c r="N423" s="8"/>
      <c r="O423" s="167" t="s">
        <v>32</v>
      </c>
      <c r="P423" s="167" t="s">
        <v>35</v>
      </c>
      <c r="Q423" s="167" t="s">
        <v>66</v>
      </c>
      <c r="R423" s="99" t="s">
        <v>67</v>
      </c>
      <c r="S423" s="99" t="s">
        <v>68</v>
      </c>
      <c r="T423" s="167" t="s">
        <v>69</v>
      </c>
      <c r="U423" s="71" t="s">
        <v>33</v>
      </c>
      <c r="V423" s="99" t="s">
        <v>70</v>
      </c>
    </row>
    <row r="424" spans="1:34" x14ac:dyDescent="0.25">
      <c r="A424" s="3" t="s">
        <v>27</v>
      </c>
      <c r="B424" s="3">
        <v>0</v>
      </c>
      <c r="C424" s="3">
        <v>0.3</v>
      </c>
      <c r="D424" s="3">
        <v>243</v>
      </c>
      <c r="E424" s="3">
        <v>1.73</v>
      </c>
      <c r="F424" s="3">
        <v>5</v>
      </c>
      <c r="G424" s="169">
        <v>12</v>
      </c>
      <c r="H424" s="3">
        <v>1820</v>
      </c>
      <c r="I424" s="169">
        <v>19645</v>
      </c>
      <c r="J424" s="3">
        <v>20</v>
      </c>
      <c r="K424" s="3">
        <v>40</v>
      </c>
      <c r="L424" s="3">
        <v>500</v>
      </c>
      <c r="M424" s="3">
        <v>1000</v>
      </c>
      <c r="O424" s="168"/>
      <c r="P424" s="168"/>
      <c r="Q424" s="168"/>
      <c r="R424" s="72" t="s">
        <v>71</v>
      </c>
      <c r="S424" s="72" t="s">
        <v>71</v>
      </c>
      <c r="T424" s="168"/>
      <c r="U424" s="73">
        <v>500</v>
      </c>
      <c r="V424" s="3">
        <v>1.5</v>
      </c>
    </row>
    <row r="425" spans="1:34" x14ac:dyDescent="0.25">
      <c r="A425" s="3" t="s">
        <v>28</v>
      </c>
      <c r="B425" s="3">
        <v>0</v>
      </c>
      <c r="C425" s="3">
        <v>0.3</v>
      </c>
      <c r="D425" s="3">
        <v>254</v>
      </c>
      <c r="E425" s="3">
        <v>1.88</v>
      </c>
      <c r="F425" s="3">
        <v>3</v>
      </c>
      <c r="G425" s="170"/>
      <c r="H425" s="3">
        <v>2720</v>
      </c>
      <c r="I425" s="170"/>
      <c r="J425" s="5"/>
      <c r="K425" s="5"/>
      <c r="L425" s="5"/>
      <c r="M425" s="5"/>
      <c r="O425" s="74">
        <v>1</v>
      </c>
      <c r="P425" s="74">
        <v>106</v>
      </c>
      <c r="Q425" s="74">
        <v>110</v>
      </c>
      <c r="R425" s="74">
        <v>6</v>
      </c>
      <c r="S425" s="74">
        <v>5</v>
      </c>
      <c r="T425" s="74">
        <f>R425*$U$5/60+S425</f>
        <v>55</v>
      </c>
      <c r="U425" s="75"/>
    </row>
    <row r="426" spans="1:34" x14ac:dyDescent="0.25">
      <c r="A426" s="3" t="s">
        <v>29</v>
      </c>
      <c r="B426" s="3">
        <v>0</v>
      </c>
      <c r="C426" s="3">
        <v>0.3</v>
      </c>
      <c r="D426" s="3">
        <v>143</v>
      </c>
      <c r="E426" s="3">
        <v>2.4300000000000002</v>
      </c>
      <c r="F426" s="3">
        <v>8</v>
      </c>
      <c r="G426" s="170"/>
      <c r="H426" s="3">
        <v>3700</v>
      </c>
      <c r="I426" s="170"/>
      <c r="J426" s="5"/>
      <c r="K426" s="140" t="s">
        <v>73</v>
      </c>
      <c r="L426" s="141">
        <v>12</v>
      </c>
      <c r="M426" s="140" t="s">
        <v>74</v>
      </c>
      <c r="N426" s="141">
        <v>19645</v>
      </c>
      <c r="O426" s="74">
        <v>2</v>
      </c>
      <c r="P426" s="74">
        <v>76</v>
      </c>
      <c r="Q426" s="74">
        <v>40</v>
      </c>
      <c r="R426" s="74">
        <v>9</v>
      </c>
      <c r="S426" s="74">
        <v>2</v>
      </c>
      <c r="T426" s="74">
        <f t="shared" ref="T426:T428" si="44">R426*$U$5/60+S426</f>
        <v>77</v>
      </c>
      <c r="U426" s="75"/>
    </row>
    <row r="427" spans="1:34" x14ac:dyDescent="0.25">
      <c r="A427" s="3" t="s">
        <v>30</v>
      </c>
      <c r="B427" s="3">
        <v>0</v>
      </c>
      <c r="C427" s="3">
        <v>0.3</v>
      </c>
      <c r="D427" s="3">
        <v>449</v>
      </c>
      <c r="E427" s="3">
        <v>2.5299999999999998</v>
      </c>
      <c r="F427" s="3">
        <v>4</v>
      </c>
      <c r="G427" s="171"/>
      <c r="H427" s="3">
        <v>4320</v>
      </c>
      <c r="I427" s="171"/>
      <c r="J427" s="5"/>
      <c r="K427" s="140"/>
      <c r="L427" s="141"/>
      <c r="M427" s="140"/>
      <c r="N427" s="141"/>
      <c r="O427" s="74">
        <v>3</v>
      </c>
      <c r="P427" s="74">
        <v>95</v>
      </c>
      <c r="Q427" s="74">
        <v>67</v>
      </c>
      <c r="R427" s="74">
        <v>5</v>
      </c>
      <c r="S427" s="74">
        <v>4</v>
      </c>
      <c r="T427" s="74">
        <f t="shared" si="44"/>
        <v>45.666666666666664</v>
      </c>
      <c r="U427" s="75"/>
    </row>
    <row r="428" spans="1:34" ht="15.75" thickBo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O428" s="74">
        <v>4</v>
      </c>
      <c r="P428" s="74">
        <v>140</v>
      </c>
      <c r="Q428" s="94">
        <v>85</v>
      </c>
      <c r="R428" s="94">
        <v>8</v>
      </c>
      <c r="S428" s="94">
        <v>3</v>
      </c>
      <c r="T428" s="74">
        <f t="shared" si="44"/>
        <v>69.666666666666671</v>
      </c>
    </row>
    <row r="429" spans="1:34" ht="15" customHeight="1" x14ac:dyDescent="0.25">
      <c r="A429" s="142" t="s">
        <v>101</v>
      </c>
      <c r="B429" s="144" t="s">
        <v>107</v>
      </c>
      <c r="C429" s="144"/>
      <c r="D429" s="144"/>
      <c r="E429" s="144"/>
      <c r="F429" s="20" t="s">
        <v>27</v>
      </c>
      <c r="G429" s="20" t="s">
        <v>28</v>
      </c>
      <c r="H429" s="20" t="s">
        <v>29</v>
      </c>
      <c r="I429" s="20" t="s">
        <v>30</v>
      </c>
    </row>
    <row r="430" spans="1:34" ht="15.75" customHeight="1" thickBot="1" x14ac:dyDescent="0.3">
      <c r="A430" s="143"/>
      <c r="B430" s="145"/>
      <c r="C430" s="145"/>
      <c r="D430" s="145"/>
      <c r="E430" s="145"/>
      <c r="F430" s="20">
        <v>168</v>
      </c>
      <c r="G430" s="26">
        <v>84</v>
      </c>
      <c r="H430" s="26">
        <v>84</v>
      </c>
      <c r="I430" s="26">
        <v>252</v>
      </c>
    </row>
    <row r="431" spans="1:34" ht="15.75" customHeight="1" thickBot="1" x14ac:dyDescent="0.3">
      <c r="A431" s="143"/>
      <c r="B431" s="145"/>
      <c r="C431" s="145"/>
      <c r="D431" s="145"/>
      <c r="E431" s="145"/>
      <c r="F431" s="7"/>
      <c r="G431" s="146" t="s">
        <v>27</v>
      </c>
      <c r="H431" s="147"/>
      <c r="I431" s="147"/>
      <c r="J431" s="147"/>
      <c r="K431" s="148"/>
      <c r="L431" s="149" t="s">
        <v>28</v>
      </c>
      <c r="M431" s="150"/>
      <c r="N431" s="150"/>
      <c r="O431" s="150"/>
      <c r="P431" s="151"/>
      <c r="Q431" s="152" t="s">
        <v>29</v>
      </c>
      <c r="R431" s="153"/>
      <c r="S431" s="153"/>
      <c r="T431" s="153"/>
      <c r="U431" s="154"/>
      <c r="V431" s="155" t="s">
        <v>30</v>
      </c>
      <c r="W431" s="156"/>
      <c r="X431" s="156"/>
      <c r="Y431" s="156"/>
      <c r="Z431" s="157"/>
      <c r="AA431" s="158" t="s">
        <v>42</v>
      </c>
      <c r="AB431" s="159"/>
      <c r="AC431" s="160" t="s">
        <v>44</v>
      </c>
      <c r="AD431" s="162" t="s">
        <v>47</v>
      </c>
      <c r="AE431" s="163"/>
      <c r="AF431" s="163"/>
      <c r="AG431" s="164"/>
      <c r="AH431" s="138" t="s">
        <v>62</v>
      </c>
    </row>
    <row r="432" spans="1:34" ht="36.75" x14ac:dyDescent="0.25">
      <c r="A432" s="21" t="s">
        <v>32</v>
      </c>
      <c r="B432" s="22" t="s">
        <v>37</v>
      </c>
      <c r="C432" s="23" t="s">
        <v>33</v>
      </c>
      <c r="D432" s="22" t="s">
        <v>38</v>
      </c>
      <c r="E432" s="22" t="s">
        <v>34</v>
      </c>
      <c r="F432" s="25" t="s">
        <v>35</v>
      </c>
      <c r="G432" s="27" t="s">
        <v>39</v>
      </c>
      <c r="H432" s="10" t="s">
        <v>40</v>
      </c>
      <c r="I432" s="10" t="s">
        <v>45</v>
      </c>
      <c r="J432" s="10" t="s">
        <v>46</v>
      </c>
      <c r="K432" s="28" t="s">
        <v>41</v>
      </c>
      <c r="L432" s="30" t="s">
        <v>39</v>
      </c>
      <c r="M432" s="13" t="s">
        <v>40</v>
      </c>
      <c r="N432" s="13" t="s">
        <v>45</v>
      </c>
      <c r="O432" s="13" t="s">
        <v>46</v>
      </c>
      <c r="P432" s="31" t="s">
        <v>41</v>
      </c>
      <c r="Q432" s="33" t="s">
        <v>39</v>
      </c>
      <c r="R432" s="12" t="s">
        <v>40</v>
      </c>
      <c r="S432" s="12" t="s">
        <v>45</v>
      </c>
      <c r="T432" s="12" t="s">
        <v>46</v>
      </c>
      <c r="U432" s="34" t="s">
        <v>41</v>
      </c>
      <c r="V432" s="36" t="s">
        <v>39</v>
      </c>
      <c r="W432" s="11" t="s">
        <v>40</v>
      </c>
      <c r="X432" s="11" t="s">
        <v>45</v>
      </c>
      <c r="Y432" s="11" t="s">
        <v>46</v>
      </c>
      <c r="Z432" s="37" t="s">
        <v>41</v>
      </c>
      <c r="AA432" s="39" t="s">
        <v>41</v>
      </c>
      <c r="AB432" s="40" t="s">
        <v>43</v>
      </c>
      <c r="AC432" s="161"/>
      <c r="AD432" s="43" t="s">
        <v>27</v>
      </c>
      <c r="AE432" s="1" t="s">
        <v>28</v>
      </c>
      <c r="AF432" s="1" t="s">
        <v>29</v>
      </c>
      <c r="AG432" s="1" t="s">
        <v>30</v>
      </c>
      <c r="AH432" s="139"/>
    </row>
    <row r="433" spans="1:34" x14ac:dyDescent="0.25">
      <c r="A433" s="24">
        <v>1</v>
      </c>
      <c r="B433" s="9">
        <v>6</v>
      </c>
      <c r="C433" s="9">
        <v>500</v>
      </c>
      <c r="D433" s="9">
        <v>5</v>
      </c>
      <c r="E433" s="48">
        <f>B433*C433/60+D433</f>
        <v>55</v>
      </c>
      <c r="F433" s="100">
        <v>106</v>
      </c>
      <c r="G433" s="49">
        <f>B$5*(1-AD433*C$5)</f>
        <v>0</v>
      </c>
      <c r="H433" s="50">
        <f>G433+E433</f>
        <v>55</v>
      </c>
      <c r="I433" s="15">
        <f>(H433/D$5)^E$5</f>
        <v>7.6511831764011648E-2</v>
      </c>
      <c r="J433" s="15">
        <f>(G433/D$5)^E$5</f>
        <v>0</v>
      </c>
      <c r="K433" s="29">
        <f>1-EXP(J433-I433)</f>
        <v>7.3658046035411151E-2</v>
      </c>
      <c r="L433" s="51">
        <f>B$6*(1-AE433*C$6)</f>
        <v>0</v>
      </c>
      <c r="M433" s="52">
        <f>L433+E433</f>
        <v>55</v>
      </c>
      <c r="N433" s="17">
        <f>(M433/D$6)^E$6</f>
        <v>5.633709759436846E-2</v>
      </c>
      <c r="O433" s="17">
        <f>(L433/D$6)^E$6</f>
        <v>0</v>
      </c>
      <c r="P433" s="32">
        <f>1-EXP(O433-N433)</f>
        <v>5.4779549360660096E-2</v>
      </c>
      <c r="Q433" s="53">
        <f>B$7*(1-AF433*C$7)</f>
        <v>0</v>
      </c>
      <c r="R433" s="54">
        <f>Q433+E433</f>
        <v>55</v>
      </c>
      <c r="S433" s="16">
        <f>(R433/D$7)^E$7</f>
        <v>9.8087748172662498E-2</v>
      </c>
      <c r="T433" s="16">
        <f>(Q433/D$7)^E$7</f>
        <v>0</v>
      </c>
      <c r="U433" s="35">
        <f>1-EXP(T433-S433)</f>
        <v>9.3430649540250821E-2</v>
      </c>
      <c r="V433" s="55">
        <f>B$8*(1-AG433*C$8)</f>
        <v>0</v>
      </c>
      <c r="W433" s="56">
        <f>V433+E433</f>
        <v>55</v>
      </c>
      <c r="X433" s="18">
        <f>(W433/D$8)^E$8</f>
        <v>4.9309927237744132E-3</v>
      </c>
      <c r="Y433" s="18">
        <f>(V433/D$8)^E$8</f>
        <v>0</v>
      </c>
      <c r="Z433" s="38">
        <f>1-EXP(Y433-X433)</f>
        <v>4.9188553371368737E-3</v>
      </c>
      <c r="AA433" s="41">
        <f>K433*P433*U433*Z433</f>
        <v>1.8543515323034395E-6</v>
      </c>
      <c r="AB433" s="42">
        <f>1-AA433</f>
        <v>0.99999814564846767</v>
      </c>
      <c r="AC433" s="47">
        <f>(AD433*F$5+AE433*F$6+AF433*F$7+AG433*F$8)+E433</f>
        <v>55</v>
      </c>
      <c r="AD433" s="43">
        <v>0</v>
      </c>
      <c r="AE433" s="1">
        <v>0</v>
      </c>
      <c r="AF433" s="1">
        <v>0</v>
      </c>
      <c r="AG433" s="1">
        <v>0</v>
      </c>
      <c r="AH433" s="74">
        <v>110</v>
      </c>
    </row>
    <row r="434" spans="1:34" x14ac:dyDescent="0.25">
      <c r="A434" s="76">
        <v>4</v>
      </c>
      <c r="B434" s="58">
        <v>8</v>
      </c>
      <c r="C434" s="9">
        <v>500</v>
      </c>
      <c r="D434" s="58">
        <v>3</v>
      </c>
      <c r="E434" s="48">
        <f t="shared" ref="E434:E436" si="45">B434*C434/60+D434</f>
        <v>69.666666666666671</v>
      </c>
      <c r="F434" s="100">
        <v>140</v>
      </c>
      <c r="G434" s="49">
        <f>H433*(1-AD434*C$5)</f>
        <v>55</v>
      </c>
      <c r="H434" s="50">
        <f>G434+E434</f>
        <v>124.66666666666667</v>
      </c>
      <c r="I434" s="15">
        <f>(H434/D$5)^E$5</f>
        <v>0.31517317577772647</v>
      </c>
      <c r="J434" s="15">
        <f>(G434/D$5)^E$5</f>
        <v>7.6511831764011648E-2</v>
      </c>
      <c r="K434" s="29">
        <f>1-EXP(J434-I434)</f>
        <v>0.21231840970513827</v>
      </c>
      <c r="L434" s="51">
        <f>M433*(1-AE434*C$6)</f>
        <v>55</v>
      </c>
      <c r="M434" s="52">
        <f>L434+E434</f>
        <v>124.66666666666667</v>
      </c>
      <c r="N434" s="17">
        <f>(M434/D$6)^E$6</f>
        <v>0.26237549202961352</v>
      </c>
      <c r="O434" s="17">
        <f>(L434/D$6)^E$6</f>
        <v>5.633709759436846E-2</v>
      </c>
      <c r="P434" s="32">
        <f>1-EXP(O434-N434)</f>
        <v>0.18619816977858561</v>
      </c>
      <c r="Q434" s="53">
        <f>R433*(1-AF434*C$7)</f>
        <v>55</v>
      </c>
      <c r="R434" s="54">
        <f>Q434+E434</f>
        <v>124.66666666666667</v>
      </c>
      <c r="S434" s="16">
        <f>(R434/D$7)^E$7</f>
        <v>0.71648445673009076</v>
      </c>
      <c r="T434" s="16">
        <f>(Q434/D$7)^E$7</f>
        <v>9.8087748172662498E-2</v>
      </c>
      <c r="U434" s="35">
        <f>1-EXP(T434-S434)</f>
        <v>0.46119238891751968</v>
      </c>
      <c r="V434" s="55">
        <f>W433*(1-AG434*C$8)</f>
        <v>55</v>
      </c>
      <c r="W434" s="56">
        <f>V434+E434</f>
        <v>124.66666666666667</v>
      </c>
      <c r="X434" s="18">
        <f>(W434/D$8)^E$8</f>
        <v>3.9089951931753103E-2</v>
      </c>
      <c r="Y434" s="18">
        <f>(V434/D$8)^E$8</f>
        <v>4.9309927237744132E-3</v>
      </c>
      <c r="Z434" s="38">
        <f>1-EXP(Y434-X434)</f>
        <v>3.3582128592293481E-2</v>
      </c>
      <c r="AA434" s="41">
        <f>K434*P434*U434*Z434</f>
        <v>6.1228470695588017E-4</v>
      </c>
      <c r="AB434" s="42">
        <f>1-AA434</f>
        <v>0.99938771529304415</v>
      </c>
      <c r="AC434" s="47">
        <f>AF434*F$7+E434+AC433</f>
        <v>124.66666666666667</v>
      </c>
      <c r="AD434" s="43">
        <v>0</v>
      </c>
      <c r="AE434" s="1">
        <v>0</v>
      </c>
      <c r="AF434" s="1">
        <v>0</v>
      </c>
      <c r="AG434" s="1">
        <v>0</v>
      </c>
      <c r="AH434" s="74">
        <v>85</v>
      </c>
    </row>
    <row r="435" spans="1:34" x14ac:dyDescent="0.25">
      <c r="A435" s="24">
        <v>3</v>
      </c>
      <c r="B435" s="9">
        <v>5</v>
      </c>
      <c r="C435" s="58">
        <v>500</v>
      </c>
      <c r="D435" s="58">
        <v>4</v>
      </c>
      <c r="E435" s="48">
        <f t="shared" si="45"/>
        <v>45.666666666666664</v>
      </c>
      <c r="F435" s="100">
        <v>95</v>
      </c>
      <c r="G435" s="68">
        <f>H434*(1-AD435*C$5)</f>
        <v>124.66666666666667</v>
      </c>
      <c r="H435" s="69">
        <f>G435+E435</f>
        <v>170.33333333333334</v>
      </c>
      <c r="I435" s="70">
        <f>(H435/D$5)^E$5</f>
        <v>0.54081600193052237</v>
      </c>
      <c r="J435" s="70">
        <f>(G435/D$5)^E$5</f>
        <v>0.31517317577772647</v>
      </c>
      <c r="K435" s="29">
        <f>1-EXP(J435-I435)</f>
        <v>0.20199692340120246</v>
      </c>
      <c r="L435" s="51">
        <f>M434*(1-AE435*C$6)</f>
        <v>87.266666666666666</v>
      </c>
      <c r="M435" s="52">
        <f>L435+E435</f>
        <v>132.93333333333334</v>
      </c>
      <c r="N435" s="17">
        <f>(M435/D$6)^E$6</f>
        <v>0.29603586895842493</v>
      </c>
      <c r="O435" s="17">
        <f>(L435/D$6)^E$6</f>
        <v>0.13418611561976262</v>
      </c>
      <c r="P435" s="32">
        <f>1-EXP(O435-N435)</f>
        <v>0.14943100990868496</v>
      </c>
      <c r="Q435" s="53">
        <f>R434*(1-AF435*C$7)</f>
        <v>87.266666666666666</v>
      </c>
      <c r="R435" s="54">
        <f>Q435+E435</f>
        <v>132.93333333333334</v>
      </c>
      <c r="S435" s="16">
        <f>(R435/D$7)^E$7</f>
        <v>0.83745946166039797</v>
      </c>
      <c r="T435" s="16">
        <f>(Q435/D$7)^E$7</f>
        <v>0.30115842040528412</v>
      </c>
      <c r="U435" s="35">
        <f>1-EXP(T435-S435)</f>
        <v>0.41509219429478805</v>
      </c>
      <c r="V435" s="55">
        <f>W434*(1-AG435*C$8)</f>
        <v>124.66666666666667</v>
      </c>
      <c r="W435" s="56">
        <f>V435+E435</f>
        <v>170.33333333333334</v>
      </c>
      <c r="X435" s="18">
        <f>(W435/D$8)^E$8</f>
        <v>8.6100338756432887E-2</v>
      </c>
      <c r="Y435" s="18">
        <f>(V435/D$8)^E$8</f>
        <v>3.9089951931753103E-2</v>
      </c>
      <c r="Z435" s="38">
        <f>1-EXP(Y435-X435)</f>
        <v>4.5922512296690643E-2</v>
      </c>
      <c r="AA435" s="41">
        <f>K435*P435*U435*Z435</f>
        <v>5.7538123245380135E-4</v>
      </c>
      <c r="AB435" s="42">
        <f>1-AA435</f>
        <v>0.99942461876754618</v>
      </c>
      <c r="AC435" s="47">
        <f>(AF435*F$7)+E435+AC434</f>
        <v>178.33333333333334</v>
      </c>
      <c r="AD435" s="77">
        <v>0</v>
      </c>
      <c r="AE435" s="78">
        <v>1</v>
      </c>
      <c r="AF435" s="78">
        <v>1</v>
      </c>
      <c r="AG435" s="78">
        <v>0</v>
      </c>
      <c r="AH435" s="74">
        <v>67</v>
      </c>
    </row>
    <row r="436" spans="1:34" ht="15.75" thickBot="1" x14ac:dyDescent="0.3">
      <c r="A436" s="57">
        <v>2</v>
      </c>
      <c r="B436" s="58">
        <v>9</v>
      </c>
      <c r="C436" s="58">
        <v>500</v>
      </c>
      <c r="D436" s="9">
        <v>2</v>
      </c>
      <c r="E436" s="48">
        <f t="shared" si="45"/>
        <v>77</v>
      </c>
      <c r="F436" s="100">
        <v>76</v>
      </c>
      <c r="G436" s="68">
        <f>H435*(1-AD436*C$5)</f>
        <v>119.23333333333333</v>
      </c>
      <c r="H436" s="69">
        <f>G436+E436</f>
        <v>196.23333333333335</v>
      </c>
      <c r="I436" s="70">
        <f>(H436/D$5)^E$5</f>
        <v>0.69087274166660284</v>
      </c>
      <c r="J436" s="70">
        <f>(G436/D$5)^E$5</f>
        <v>0.29178915240732939</v>
      </c>
      <c r="K436" s="29">
        <f>1-EXP(J436-I436)</f>
        <v>0.32906538391816376</v>
      </c>
      <c r="L436" s="51">
        <f>M435*(1-AE436*C$6)</f>
        <v>93.053333333333327</v>
      </c>
      <c r="M436" s="52">
        <f>L436+E436</f>
        <v>170.05333333333334</v>
      </c>
      <c r="N436" s="17">
        <f>(M436/D$6)^E$6</f>
        <v>0.47034084314905283</v>
      </c>
      <c r="O436" s="17">
        <f>(L436/D$6)^E$6</f>
        <v>0.15140096749268256</v>
      </c>
      <c r="P436" s="32">
        <f>1-EXP(O436-N436)</f>
        <v>0.27308074646452829</v>
      </c>
      <c r="Q436" s="53">
        <f>R435*(1-AF436*C$7)</f>
        <v>93.053333333333327</v>
      </c>
      <c r="R436" s="54">
        <f>Q436+E436</f>
        <v>170.05333333333334</v>
      </c>
      <c r="S436" s="16">
        <f>(R436/D$7)^E$7</f>
        <v>1.5235451944421441</v>
      </c>
      <c r="T436" s="16">
        <f>(Q436/D$7)^E$7</f>
        <v>0.35200759243004098</v>
      </c>
      <c r="U436" s="35">
        <f>1-EXP(T436-S436)</f>
        <v>0.6901099128680086</v>
      </c>
      <c r="V436" s="55">
        <f>W435*(1-AG436*C$8)</f>
        <v>170.33333333333334</v>
      </c>
      <c r="W436" s="56">
        <f>V436+E436</f>
        <v>247.33333333333334</v>
      </c>
      <c r="X436" s="18">
        <f>(W436/D$8)^E$8</f>
        <v>0.22121871391987213</v>
      </c>
      <c r="Y436" s="18">
        <f>(V436/D$8)^E$8</f>
        <v>8.6100338756432887E-2</v>
      </c>
      <c r="Z436" s="38">
        <f>1-EXP(Y436-X436)</f>
        <v>0.1263875084545022</v>
      </c>
      <c r="AA436" s="41">
        <f>K436*P436*U436*Z436</f>
        <v>7.837827455269326E-3</v>
      </c>
      <c r="AB436" s="42">
        <f>1-AA436</f>
        <v>0.99216217254473071</v>
      </c>
      <c r="AC436" s="47">
        <f>(AF436*F$7)+E436+AC435</f>
        <v>263.33333333333337</v>
      </c>
      <c r="AD436" s="80">
        <v>1</v>
      </c>
      <c r="AE436" s="45">
        <v>1</v>
      </c>
      <c r="AF436" s="81">
        <v>1</v>
      </c>
      <c r="AG436" s="45">
        <v>0</v>
      </c>
      <c r="AH436" s="94">
        <v>40</v>
      </c>
    </row>
    <row r="437" spans="1:34" ht="18.75" x14ac:dyDescent="0.3">
      <c r="A437" s="132" t="s">
        <v>53</v>
      </c>
      <c r="B437" s="132"/>
      <c r="C437" s="132"/>
      <c r="D437" s="132"/>
      <c r="E437" s="132"/>
      <c r="F437" s="132"/>
      <c r="G437" s="132"/>
      <c r="H437" s="132"/>
      <c r="I437" s="132"/>
      <c r="J437" s="132"/>
      <c r="AG437" s="46"/>
    </row>
    <row r="438" spans="1:34" ht="15.75" x14ac:dyDescent="0.25">
      <c r="A438" s="19" t="s">
        <v>58</v>
      </c>
      <c r="B438" s="60" t="s">
        <v>49</v>
      </c>
      <c r="C438" s="61" t="s">
        <v>50</v>
      </c>
      <c r="D438" s="19" t="s">
        <v>48</v>
      </c>
      <c r="E438" s="60" t="s">
        <v>57</v>
      </c>
      <c r="F438" s="61" t="s">
        <v>50</v>
      </c>
      <c r="G438" s="19" t="s">
        <v>82</v>
      </c>
      <c r="H438" s="60" t="s">
        <v>61</v>
      </c>
      <c r="I438" s="61" t="s">
        <v>50</v>
      </c>
      <c r="J438" s="19" t="s">
        <v>54</v>
      </c>
      <c r="K438" s="83" t="s">
        <v>84</v>
      </c>
      <c r="L438" s="61" t="s">
        <v>50</v>
      </c>
      <c r="M438" s="61" t="s">
        <v>85</v>
      </c>
      <c r="O438" s="174" t="s">
        <v>64</v>
      </c>
      <c r="P438" s="174"/>
      <c r="Q438" s="175" t="s">
        <v>109</v>
      </c>
      <c r="R438" s="175"/>
    </row>
    <row r="439" spans="1:34" ht="24.75" x14ac:dyDescent="0.25">
      <c r="A439" s="61" t="s">
        <v>51</v>
      </c>
      <c r="B439" s="1">
        <f>AA433</f>
        <v>1.8543515323034395E-6</v>
      </c>
      <c r="C439" s="59">
        <f>MAX(AC433+1*L426-F433,0)</f>
        <v>0</v>
      </c>
      <c r="D439" s="62" t="s">
        <v>55</v>
      </c>
      <c r="E439" s="1">
        <f>AA433*AA434</f>
        <v>1.1353910845495988E-9</v>
      </c>
      <c r="F439" s="1">
        <f>MAX(AC434+2*L426-F434,0)</f>
        <v>8.6666666666666856</v>
      </c>
      <c r="G439" s="62" t="s">
        <v>59</v>
      </c>
      <c r="H439" s="1">
        <f>AA433*AA434*AA435</f>
        <v>6.5328272154520634E-13</v>
      </c>
      <c r="I439" s="1">
        <f>AC435+3*L426-F435</f>
        <v>119.33333333333334</v>
      </c>
      <c r="J439" s="62" t="s">
        <v>83</v>
      </c>
      <c r="K439" s="1">
        <f>AA433*AA434*AA435*AA436</f>
        <v>5.120317250980084E-15</v>
      </c>
      <c r="L439" s="1">
        <f>AC436+4*L426-F436</f>
        <v>235.33333333333337</v>
      </c>
      <c r="M439" s="1">
        <f>B439*C439*AH433+E439*F439*AH434+H439*I439*AH435+K439*L439*AH436</f>
        <v>8.4167617799092331E-7</v>
      </c>
      <c r="O439" s="1" t="s">
        <v>27</v>
      </c>
      <c r="P439" s="1">
        <f>H424</f>
        <v>1820</v>
      </c>
      <c r="Q439" s="1">
        <f>(K433*(1-P433)*(1-U433)*(1-Z433))+(P433*(1-K433)*(1-U433)*(1-Z433))+(U433*(1-K433)*(1-P433)*(1-Z433))+(Z433*(1-K433)*(1-P433)*(1-U433))</f>
        <v>0.19389466846386108</v>
      </c>
      <c r="R439" s="1">
        <f>Q439*(L$7*(J$5*K$5+L$5)+I$5)</f>
        <v>6833.8175900087836</v>
      </c>
    </row>
    <row r="440" spans="1:34" ht="24.75" x14ac:dyDescent="0.25">
      <c r="A440" s="62" t="s">
        <v>52</v>
      </c>
      <c r="B440" s="1">
        <f>AB433</f>
        <v>0.99999814564846767</v>
      </c>
      <c r="C440" s="59">
        <f>MAX(AC433-F433,0)</f>
        <v>0</v>
      </c>
      <c r="D440" s="62" t="s">
        <v>56</v>
      </c>
      <c r="E440" s="1">
        <f>AA433*AB434+AA434*AB433</f>
        <v>6.141367877060145E-4</v>
      </c>
      <c r="F440" s="1">
        <f>MAX(AC434+1*L426-F434,0)</f>
        <v>0</v>
      </c>
      <c r="G440" s="62" t="s">
        <v>60</v>
      </c>
      <c r="H440" s="1">
        <f>AA433*AA434*AB435+AA434*AA435*AB433+AA433*AA435*AB434</f>
        <v>3.5449751960733327E-7</v>
      </c>
      <c r="I440" s="1">
        <f>AC435+2*L426-F435</f>
        <v>107.33333333333334</v>
      </c>
      <c r="J440" s="62" t="s">
        <v>59</v>
      </c>
      <c r="K440">
        <f>AB433*AA434*AA435*AA436+AB434*AA433*AA435*AA436*+AB435*AA433*AA434*AA436+AB436*AA433*AA434*AA435</f>
        <v>2.7618871545341932E-9</v>
      </c>
      <c r="L440" s="1">
        <f>AC436+3*L426-F436</f>
        <v>223.33333333333337</v>
      </c>
      <c r="M440" s="1">
        <f>B440*C440*AH433+E440*F440*AH434+H440*I440*AH435+K440*L440*AH436</f>
        <v>2.5739826879167087E-3</v>
      </c>
      <c r="O440" s="1" t="s">
        <v>28</v>
      </c>
      <c r="P440" s="1">
        <f>2*H425</f>
        <v>5440</v>
      </c>
      <c r="Q440" s="1">
        <f t="shared" ref="Q440:Q442" si="46">(K434*(1-P434)*(1-U434)*(1-Z434))+(P434*(1-K434)*(1-U434)*(1-Z434))+(U434*(1-K434)*(1-P434)*(1-Z434))+(Z434*(1-K434)*(1-P434)*(1-U434))</f>
        <v>0.46364468761225525</v>
      </c>
      <c r="R440" s="1">
        <f t="shared" ref="R440:R442" si="47">Q440*(L$7*(J$5*K$5+L$5)+I$5)</f>
        <v>16341.157014893935</v>
      </c>
    </row>
    <row r="441" spans="1:34" ht="24.75" x14ac:dyDescent="0.25">
      <c r="A441" s="1"/>
      <c r="B441" s="1"/>
      <c r="C441" s="1"/>
      <c r="D441" s="62" t="s">
        <v>52</v>
      </c>
      <c r="E441" s="1">
        <f>AB433*AB434</f>
        <v>0.99938586207690294</v>
      </c>
      <c r="F441" s="59">
        <f>MAX(AC434-F434,0)</f>
        <v>0</v>
      </c>
      <c r="G441" s="62" t="s">
        <v>56</v>
      </c>
      <c r="H441" s="1">
        <f>AA433*AB434*AB435+AA434*AB433*AB435*+AA435*AB433*AB434</f>
        <v>2.2040273725317556E-6</v>
      </c>
      <c r="I441" s="1">
        <f>AC435+1*L426-F435</f>
        <v>95.333333333333343</v>
      </c>
      <c r="J441" s="62" t="s">
        <v>60</v>
      </c>
      <c r="K441" s="1">
        <f>AA433*AA434*AB435*AB436 + AA433*AA435*AB434*AB436 + AA433*AA436*AB434*AB435 + AA434*AA435*AB433*AB436 + AA434*AA436*AB433*AB435 + AA435*AA436*AB433*AB434</f>
        <v>9.6694168280154174E-6</v>
      </c>
      <c r="L441" s="1">
        <f>AC436+2*L426-F436</f>
        <v>211.33333333333337</v>
      </c>
      <c r="M441" s="1">
        <f>B441*C441*AH433+E441*F441*AH434+H441*I441*AH435+K441*L441*AH436</f>
        <v>9.5816661090308175E-2</v>
      </c>
      <c r="O441" s="1" t="s">
        <v>29</v>
      </c>
      <c r="P441" s="1">
        <f>2*(F426*(J424*K424+L424)+H426)</f>
        <v>28200</v>
      </c>
      <c r="Q441" s="1">
        <f t="shared" si="46"/>
        <v>0.44946434029843818</v>
      </c>
      <c r="R441" s="1">
        <f t="shared" si="47"/>
        <v>15841.370673818454</v>
      </c>
    </row>
    <row r="442" spans="1:34" ht="24.75" x14ac:dyDescent="0.25">
      <c r="A442" s="1"/>
      <c r="B442" s="1"/>
      <c r="C442" s="1"/>
      <c r="D442" s="1"/>
      <c r="E442" s="1"/>
      <c r="F442" s="1"/>
      <c r="G442" s="62" t="s">
        <v>52</v>
      </c>
      <c r="H442" s="1">
        <f>AB433*AB434*AB435</f>
        <v>0.99881083420788419</v>
      </c>
      <c r="I442" s="63">
        <f>AC435-F435</f>
        <v>83.333333333333343</v>
      </c>
      <c r="J442" s="62" t="s">
        <v>56</v>
      </c>
      <c r="K442" s="1">
        <f>AA433*AB434*AB435*AB436+AA434*AB433*AB435*AB436+AA435*AB433*AB434*AB436+AA436*AB433*AB434*AB435</f>
        <v>9.008000575119135E-3</v>
      </c>
      <c r="L442" s="1">
        <f>AC436+1*L426-F436</f>
        <v>199.33333333333337</v>
      </c>
      <c r="M442" s="1">
        <f>B442*C442*AH433+E442*F442*AH434+H442*I442*AH435+K442*L442*AH436</f>
        <v>5648.517615579638</v>
      </c>
      <c r="O442" s="1" t="s">
        <v>30</v>
      </c>
      <c r="P442" s="1">
        <v>0</v>
      </c>
      <c r="Q442" s="1">
        <f t="shared" si="46"/>
        <v>0.42750004005255005</v>
      </c>
      <c r="R442" s="1">
        <f t="shared" si="47"/>
        <v>15067.238911652126</v>
      </c>
    </row>
    <row r="443" spans="1:34" ht="30" x14ac:dyDescent="0.25">
      <c r="I443" s="84"/>
      <c r="J443" s="62" t="s">
        <v>52</v>
      </c>
      <c r="K443" s="85">
        <f>AB433*AB434*AB435*AB436</f>
        <v>0.99098232722890922</v>
      </c>
      <c r="L443" s="1">
        <f>AC436+0*L426-F436</f>
        <v>187.33333333333337</v>
      </c>
      <c r="M443" s="1">
        <f>B443*C443*AH433+E443*F443*AH434+H443*I443*AH435+K443*L443*AH436</f>
        <v>7425.7609053686283</v>
      </c>
      <c r="O443" s="64" t="s">
        <v>65</v>
      </c>
      <c r="P443" s="65">
        <f>SUM(P439:P442)</f>
        <v>35460</v>
      </c>
      <c r="Q443" s="96" t="s">
        <v>108</v>
      </c>
      <c r="R443" s="97">
        <f>SUM(R439:R442)</f>
        <v>54083.584190373294</v>
      </c>
    </row>
    <row r="444" spans="1:34" x14ac:dyDescent="0.25">
      <c r="L444" s="176" t="s">
        <v>63</v>
      </c>
      <c r="M444" s="177">
        <f>SUM(M439:M443)</f>
        <v>13074.37691243372</v>
      </c>
    </row>
    <row r="445" spans="1:34" x14ac:dyDescent="0.25">
      <c r="L445" s="176"/>
      <c r="M445" s="177"/>
    </row>
    <row r="446" spans="1:34" x14ac:dyDescent="0.25">
      <c r="A446" s="178" t="s">
        <v>90</v>
      </c>
      <c r="B446" s="178"/>
      <c r="C446" s="178"/>
      <c r="D446" s="178"/>
      <c r="E446" s="178"/>
      <c r="F446" s="178"/>
      <c r="G446" s="178"/>
      <c r="H446" s="178"/>
      <c r="I446" s="178"/>
      <c r="J446" s="178"/>
      <c r="K446" s="178"/>
      <c r="L446" s="178"/>
      <c r="M446" s="178"/>
      <c r="N446" s="178"/>
    </row>
    <row r="447" spans="1:34" ht="15.75" x14ac:dyDescent="0.25">
      <c r="A447" s="87" t="s">
        <v>77</v>
      </c>
      <c r="B447" s="62" t="s">
        <v>49</v>
      </c>
      <c r="C447" s="90" t="s">
        <v>78</v>
      </c>
      <c r="D447" s="62" t="s">
        <v>88</v>
      </c>
      <c r="E447" s="87" t="s">
        <v>75</v>
      </c>
      <c r="F447" s="62" t="s">
        <v>57</v>
      </c>
      <c r="G447" s="90" t="s">
        <v>87</v>
      </c>
      <c r="H447" s="62" t="s">
        <v>88</v>
      </c>
      <c r="I447" s="87" t="s">
        <v>86</v>
      </c>
      <c r="J447" s="62" t="s">
        <v>61</v>
      </c>
      <c r="K447" s="90" t="s">
        <v>103</v>
      </c>
      <c r="L447" s="62" t="s">
        <v>88</v>
      </c>
      <c r="M447" s="87" t="s">
        <v>76</v>
      </c>
      <c r="N447" s="62" t="s">
        <v>84</v>
      </c>
      <c r="O447" s="90" t="s">
        <v>102</v>
      </c>
      <c r="P447" s="62" t="s">
        <v>88</v>
      </c>
    </row>
    <row r="448" spans="1:34" ht="24.75" x14ac:dyDescent="0.25">
      <c r="A448" s="62" t="s">
        <v>51</v>
      </c>
      <c r="B448" s="86">
        <v>1.8543515323034395E-6</v>
      </c>
      <c r="C448" s="86">
        <f>AC433+1*L426</f>
        <v>67</v>
      </c>
      <c r="D448" s="86">
        <f>MAX(B448*1.5*((C448-F433)*500/2),0)</f>
        <v>0</v>
      </c>
      <c r="E448" s="62" t="s">
        <v>55</v>
      </c>
      <c r="F448" s="86">
        <v>1.1353910845495988E-9</v>
      </c>
      <c r="G448" s="86">
        <f>AC434+2*L426</f>
        <v>148.66666666666669</v>
      </c>
      <c r="H448" s="86">
        <f>F448*1.5*((G448-F434)*500/2+(G448-F435)*500+(G448-F436)*500)</f>
        <v>1.1126832628586072E-4</v>
      </c>
      <c r="I448" s="62" t="s">
        <v>59</v>
      </c>
      <c r="J448" s="86">
        <v>6.5328272154520634E-13</v>
      </c>
      <c r="K448" s="86">
        <f>AC435+3*L426</f>
        <v>214.33333333333334</v>
      </c>
      <c r="L448" s="86">
        <f>J448*1.5*((K448-G448)*500/2+(K448-G448)*500)</f>
        <v>4.8261261054152112E-8</v>
      </c>
      <c r="M448" s="62" t="s">
        <v>83</v>
      </c>
      <c r="N448" s="86">
        <v>5.120317250980084E-15</v>
      </c>
      <c r="O448" s="86">
        <f>AC436+4*L426</f>
        <v>311.33333333333337</v>
      </c>
      <c r="P448" s="86">
        <f>N448*1.5*((O448-K448)*500/2)</f>
        <v>1.8625154000440061E-10</v>
      </c>
    </row>
    <row r="449" spans="1:22" ht="24.75" x14ac:dyDescent="0.25">
      <c r="A449" s="62" t="s">
        <v>52</v>
      </c>
      <c r="B449" s="86">
        <v>0.99999814564846767</v>
      </c>
      <c r="C449" s="88">
        <f>AC433</f>
        <v>55</v>
      </c>
      <c r="D449" s="86">
        <f>MAX(B449*1.5*((C449-F433)*500/2),0)</f>
        <v>0</v>
      </c>
      <c r="E449" s="62" t="s">
        <v>56</v>
      </c>
      <c r="F449" s="86">
        <v>6.141367877060145E-4</v>
      </c>
      <c r="G449" s="86">
        <f>AC434+1*L426</f>
        <v>136.66666666666669</v>
      </c>
      <c r="H449" s="86">
        <f>F449*1.5*((G449-F435)*500+(G449-F436)*500)</f>
        <v>47.134998456436634</v>
      </c>
      <c r="I449" s="62" t="s">
        <v>60</v>
      </c>
      <c r="J449" s="86">
        <v>3.5449751960733327E-7</v>
      </c>
      <c r="K449" s="86">
        <f>AC435+2*L426</f>
        <v>202.33333333333334</v>
      </c>
      <c r="L449" s="86">
        <f>J449*1.5*((K449-G449)*500/2+(K449-G449)*500)</f>
        <v>2.618850426099174E-2</v>
      </c>
      <c r="M449" s="62" t="s">
        <v>59</v>
      </c>
      <c r="N449" s="86">
        <v>2.7618871545341932E-9</v>
      </c>
      <c r="O449" s="86">
        <f>AC436+3*L426</f>
        <v>299.33333333333337</v>
      </c>
      <c r="P449" s="86">
        <f>N449*1.5*((O449-K449)*500/2)</f>
        <v>1.004636452461813E-4</v>
      </c>
    </row>
    <row r="450" spans="1:22" x14ac:dyDescent="0.25">
      <c r="A450" s="86"/>
      <c r="B450" s="86"/>
      <c r="C450" s="89" t="s">
        <v>89</v>
      </c>
      <c r="D450" s="89">
        <f>SUM(D448:D449)</f>
        <v>0</v>
      </c>
      <c r="E450" s="62" t="s">
        <v>52</v>
      </c>
      <c r="F450" s="86">
        <v>0.99938586207690294</v>
      </c>
      <c r="G450" s="86">
        <f>AC434+0*L426</f>
        <v>124.66666666666667</v>
      </c>
      <c r="H450" s="86">
        <f>F450*1.5*((G450-F435)*500+(G450-F436)*500)</f>
        <v>58713.919397018057</v>
      </c>
      <c r="I450" s="62" t="s">
        <v>56</v>
      </c>
      <c r="J450" s="86">
        <v>2.2040273725317556E-6</v>
      </c>
      <c r="K450" s="86">
        <f>AC435+1*L426</f>
        <v>190.33333333333334</v>
      </c>
      <c r="L450" s="86">
        <f>J450*1.5*((K450-G450)*500/2+(K450-G450)*500)</f>
        <v>0.16282252214578344</v>
      </c>
      <c r="M450" s="62" t="s">
        <v>60</v>
      </c>
      <c r="N450" s="86">
        <v>9.6694168280154174E-6</v>
      </c>
      <c r="O450" s="86">
        <f>AC436+2*L426</f>
        <v>287.33333333333337</v>
      </c>
      <c r="P450" s="86">
        <f>N450*1.5*((O450-K450)*500/2)</f>
        <v>0.35172503711906089</v>
      </c>
    </row>
    <row r="451" spans="1:22" x14ac:dyDescent="0.25">
      <c r="A451" s="86"/>
      <c r="B451" s="86"/>
      <c r="C451" s="86"/>
      <c r="D451" s="86"/>
      <c r="E451" s="86"/>
      <c r="F451" s="86"/>
      <c r="G451" s="89" t="s">
        <v>79</v>
      </c>
      <c r="H451" s="89">
        <f>SUM(H448:H450)</f>
        <v>58761.054506742817</v>
      </c>
      <c r="I451" s="62" t="s">
        <v>52</v>
      </c>
      <c r="J451" s="86">
        <v>0.99881083420788419</v>
      </c>
      <c r="K451" s="86">
        <f>AC435+0*L426</f>
        <v>178.33333333333334</v>
      </c>
      <c r="L451" s="86">
        <f>J451*1.5*((K451-G450)*500/2+(K451-G450)*500)</f>
        <v>60303.204115301007</v>
      </c>
      <c r="M451" s="62" t="s">
        <v>56</v>
      </c>
      <c r="N451" s="86">
        <v>9.008000575119135E-3</v>
      </c>
      <c r="O451" s="86">
        <f>AC436+1*L426</f>
        <v>275.33333333333337</v>
      </c>
      <c r="P451" s="86">
        <f>N451*1.5*((O451-K451)*500/2)</f>
        <v>327.66602091995861</v>
      </c>
    </row>
    <row r="452" spans="1:22" x14ac:dyDescent="0.25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9" t="s">
        <v>79</v>
      </c>
      <c r="L452" s="89">
        <f>SUM(L448:L451)</f>
        <v>60303.393126375675</v>
      </c>
      <c r="M452" s="62" t="s">
        <v>52</v>
      </c>
      <c r="N452" s="86">
        <v>0.99098232722890922</v>
      </c>
      <c r="O452" s="86">
        <f>AC436+0*L426</f>
        <v>263.33333333333337</v>
      </c>
      <c r="P452" s="86">
        <f>N452*1.5*((O452-K451)*500/2)</f>
        <v>31587.561680421495</v>
      </c>
      <c r="Q452" s="179" t="s">
        <v>80</v>
      </c>
      <c r="R452" s="179"/>
      <c r="S452" s="180">
        <f>D450+H451+L452+P453</f>
        <v>150980.02715996088</v>
      </c>
      <c r="T452" s="180"/>
    </row>
    <row r="453" spans="1:22" x14ac:dyDescent="0.25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9" t="s">
        <v>79</v>
      </c>
      <c r="P453" s="89">
        <f>SUM(P448:P452)</f>
        <v>31915.579526842404</v>
      </c>
      <c r="Q453" s="179"/>
      <c r="R453" s="179"/>
      <c r="S453" s="180"/>
      <c r="T453" s="180"/>
    </row>
    <row r="454" spans="1:22" x14ac:dyDescent="0.25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</row>
    <row r="455" spans="1:22" x14ac:dyDescent="0.25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</row>
    <row r="456" spans="1:22" x14ac:dyDescent="0.25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</row>
    <row r="457" spans="1:22" ht="24.75" thickBot="1" x14ac:dyDescent="0.3">
      <c r="O457" s="131" t="s">
        <v>81</v>
      </c>
      <c r="P457" s="131"/>
      <c r="Q457" s="131">
        <f>(R443+P443+M444+S452)/AC436</f>
        <v>963.03033517506788</v>
      </c>
      <c r="R457" s="131"/>
    </row>
    <row r="458" spans="1:22" x14ac:dyDescent="0.25">
      <c r="A458" s="181" t="s">
        <v>117</v>
      </c>
      <c r="B458" s="182"/>
    </row>
    <row r="459" spans="1:22" ht="15.75" thickBot="1" x14ac:dyDescent="0.3">
      <c r="A459" s="183"/>
      <c r="B459" s="184"/>
    </row>
    <row r="460" spans="1:22" ht="21" x14ac:dyDescent="0.35">
      <c r="A460" s="185" t="s">
        <v>14</v>
      </c>
      <c r="B460" s="185"/>
      <c r="C460" s="165"/>
      <c r="D460" s="165"/>
      <c r="E460" s="165"/>
      <c r="F460" s="165"/>
      <c r="G460" s="165"/>
      <c r="H460" s="165"/>
      <c r="I460" s="165"/>
      <c r="J460" s="165"/>
      <c r="K460" s="165"/>
      <c r="L460" s="165"/>
      <c r="M460" s="165"/>
      <c r="O460" s="166" t="s">
        <v>72</v>
      </c>
      <c r="P460" s="166"/>
      <c r="Q460" s="166"/>
      <c r="R460" s="166"/>
      <c r="S460" s="166"/>
      <c r="T460" s="166"/>
      <c r="U460" s="166"/>
      <c r="V460" s="166"/>
    </row>
    <row r="461" spans="1:22" ht="36" x14ac:dyDescent="0.25">
      <c r="A461" s="4" t="s">
        <v>15</v>
      </c>
      <c r="B461" s="4" t="s">
        <v>16</v>
      </c>
      <c r="C461" s="4" t="s">
        <v>31</v>
      </c>
      <c r="D461" s="6" t="s">
        <v>17</v>
      </c>
      <c r="E461" s="6" t="s">
        <v>18</v>
      </c>
      <c r="F461" s="6" t="s">
        <v>19</v>
      </c>
      <c r="G461" s="6" t="s">
        <v>20</v>
      </c>
      <c r="H461" s="6" t="s">
        <v>21</v>
      </c>
      <c r="I461" s="6" t="s">
        <v>22</v>
      </c>
      <c r="J461" s="6" t="s">
        <v>23</v>
      </c>
      <c r="K461" s="6" t="s">
        <v>24</v>
      </c>
      <c r="L461" s="6" t="s">
        <v>25</v>
      </c>
      <c r="M461" s="6" t="s">
        <v>26</v>
      </c>
      <c r="N461" s="8"/>
      <c r="O461" s="167" t="s">
        <v>32</v>
      </c>
      <c r="P461" s="167" t="s">
        <v>35</v>
      </c>
      <c r="Q461" s="167" t="s">
        <v>66</v>
      </c>
      <c r="R461" s="99" t="s">
        <v>67</v>
      </c>
      <c r="S461" s="99" t="s">
        <v>68</v>
      </c>
      <c r="T461" s="167" t="s">
        <v>69</v>
      </c>
      <c r="U461" s="71" t="s">
        <v>33</v>
      </c>
      <c r="V461" s="99" t="s">
        <v>70</v>
      </c>
    </row>
    <row r="462" spans="1:22" x14ac:dyDescent="0.25">
      <c r="A462" s="3" t="s">
        <v>27</v>
      </c>
      <c r="B462" s="3">
        <v>0</v>
      </c>
      <c r="C462" s="3">
        <v>0.3</v>
      </c>
      <c r="D462" s="3">
        <v>243</v>
      </c>
      <c r="E462" s="3">
        <v>1.73</v>
      </c>
      <c r="F462" s="3">
        <v>5</v>
      </c>
      <c r="G462" s="169">
        <v>12</v>
      </c>
      <c r="H462" s="3">
        <v>1820</v>
      </c>
      <c r="I462" s="169">
        <v>19645</v>
      </c>
      <c r="J462" s="3">
        <v>20</v>
      </c>
      <c r="K462" s="3">
        <v>40</v>
      </c>
      <c r="L462" s="3">
        <v>500</v>
      </c>
      <c r="M462" s="3">
        <v>1000</v>
      </c>
      <c r="O462" s="168"/>
      <c r="P462" s="168"/>
      <c r="Q462" s="168"/>
      <c r="R462" s="72" t="s">
        <v>71</v>
      </c>
      <c r="S462" s="72" t="s">
        <v>71</v>
      </c>
      <c r="T462" s="168"/>
      <c r="U462" s="73">
        <v>500</v>
      </c>
      <c r="V462" s="3">
        <v>1.5</v>
      </c>
    </row>
    <row r="463" spans="1:22" x14ac:dyDescent="0.25">
      <c r="A463" s="3" t="s">
        <v>28</v>
      </c>
      <c r="B463" s="3">
        <v>0</v>
      </c>
      <c r="C463" s="3">
        <v>0.3</v>
      </c>
      <c r="D463" s="3">
        <v>254</v>
      </c>
      <c r="E463" s="3">
        <v>1.88</v>
      </c>
      <c r="F463" s="3">
        <v>3</v>
      </c>
      <c r="G463" s="170"/>
      <c r="H463" s="3">
        <v>2720</v>
      </c>
      <c r="I463" s="170"/>
      <c r="J463" s="5"/>
      <c r="K463" s="5"/>
      <c r="L463" s="5"/>
      <c r="M463" s="5"/>
      <c r="O463" s="74">
        <v>1</v>
      </c>
      <c r="P463" s="74">
        <v>106</v>
      </c>
      <c r="Q463" s="74">
        <v>110</v>
      </c>
      <c r="R463" s="74">
        <v>6</v>
      </c>
      <c r="S463" s="74">
        <v>5</v>
      </c>
      <c r="T463" s="74">
        <f>R463*$U$5/60+S463</f>
        <v>55</v>
      </c>
      <c r="U463" s="75"/>
    </row>
    <row r="464" spans="1:22" x14ac:dyDescent="0.25">
      <c r="A464" s="3" t="s">
        <v>29</v>
      </c>
      <c r="B464" s="3">
        <v>0</v>
      </c>
      <c r="C464" s="3">
        <v>0.3</v>
      </c>
      <c r="D464" s="3">
        <v>143</v>
      </c>
      <c r="E464" s="3">
        <v>2.4300000000000002</v>
      </c>
      <c r="F464" s="3">
        <v>8</v>
      </c>
      <c r="G464" s="170"/>
      <c r="H464" s="3">
        <v>3700</v>
      </c>
      <c r="I464" s="170"/>
      <c r="J464" s="5"/>
      <c r="K464" s="140" t="s">
        <v>73</v>
      </c>
      <c r="L464" s="141">
        <v>12</v>
      </c>
      <c r="M464" s="140" t="s">
        <v>74</v>
      </c>
      <c r="N464" s="141">
        <v>19645</v>
      </c>
      <c r="O464" s="74">
        <v>2</v>
      </c>
      <c r="P464" s="74">
        <v>76</v>
      </c>
      <c r="Q464" s="74">
        <v>40</v>
      </c>
      <c r="R464" s="74">
        <v>9</v>
      </c>
      <c r="S464" s="74">
        <v>2</v>
      </c>
      <c r="T464" s="74">
        <f t="shared" ref="T464:T466" si="48">R464*$U$5/60+S464</f>
        <v>77</v>
      </c>
      <c r="U464" s="75"/>
    </row>
    <row r="465" spans="1:34" x14ac:dyDescent="0.25">
      <c r="A465" s="3" t="s">
        <v>30</v>
      </c>
      <c r="B465" s="3">
        <v>0</v>
      </c>
      <c r="C465" s="3">
        <v>0.3</v>
      </c>
      <c r="D465" s="3">
        <v>449</v>
      </c>
      <c r="E465" s="3">
        <v>2.5299999999999998</v>
      </c>
      <c r="F465" s="3">
        <v>4</v>
      </c>
      <c r="G465" s="171"/>
      <c r="H465" s="3">
        <v>4320</v>
      </c>
      <c r="I465" s="171"/>
      <c r="J465" s="5"/>
      <c r="K465" s="140"/>
      <c r="L465" s="141"/>
      <c r="M465" s="140"/>
      <c r="N465" s="141"/>
      <c r="O465" s="74">
        <v>3</v>
      </c>
      <c r="P465" s="74">
        <v>95</v>
      </c>
      <c r="Q465" s="74">
        <v>67</v>
      </c>
      <c r="R465" s="74">
        <v>5</v>
      </c>
      <c r="S465" s="74">
        <v>4</v>
      </c>
      <c r="T465" s="74">
        <f t="shared" si="48"/>
        <v>45.666666666666664</v>
      </c>
      <c r="U465" s="75"/>
    </row>
    <row r="466" spans="1:34" ht="15.75" thickBo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O466" s="74">
        <v>4</v>
      </c>
      <c r="P466" s="74">
        <v>140</v>
      </c>
      <c r="Q466" s="94">
        <v>85</v>
      </c>
      <c r="R466" s="94">
        <v>8</v>
      </c>
      <c r="S466" s="94">
        <v>3</v>
      </c>
      <c r="T466" s="74">
        <f t="shared" si="48"/>
        <v>69.666666666666671</v>
      </c>
    </row>
    <row r="467" spans="1:34" ht="15" customHeight="1" x14ac:dyDescent="0.25">
      <c r="A467" s="142" t="s">
        <v>101</v>
      </c>
      <c r="B467" s="144" t="s">
        <v>107</v>
      </c>
      <c r="C467" s="144"/>
      <c r="D467" s="144"/>
      <c r="E467" s="144"/>
      <c r="F467" s="20" t="s">
        <v>27</v>
      </c>
      <c r="G467" s="20" t="s">
        <v>28</v>
      </c>
      <c r="H467" s="20" t="s">
        <v>29</v>
      </c>
      <c r="I467" s="20" t="s">
        <v>30</v>
      </c>
    </row>
    <row r="468" spans="1:34" ht="15.75" customHeight="1" thickBot="1" x14ac:dyDescent="0.3">
      <c r="A468" s="143"/>
      <c r="B468" s="145"/>
      <c r="C468" s="145"/>
      <c r="D468" s="145"/>
      <c r="E468" s="145"/>
      <c r="F468" s="20">
        <v>168</v>
      </c>
      <c r="G468" s="26">
        <v>84</v>
      </c>
      <c r="H468" s="26">
        <v>84</v>
      </c>
      <c r="I468" s="26">
        <v>252</v>
      </c>
    </row>
    <row r="469" spans="1:34" ht="15.75" customHeight="1" thickBot="1" x14ac:dyDescent="0.3">
      <c r="A469" s="143"/>
      <c r="B469" s="145"/>
      <c r="C469" s="145"/>
      <c r="D469" s="145"/>
      <c r="E469" s="145"/>
      <c r="F469" s="7"/>
      <c r="G469" s="146" t="s">
        <v>27</v>
      </c>
      <c r="H469" s="147"/>
      <c r="I469" s="147"/>
      <c r="J469" s="147"/>
      <c r="K469" s="148"/>
      <c r="L469" s="149" t="s">
        <v>28</v>
      </c>
      <c r="M469" s="150"/>
      <c r="N469" s="150"/>
      <c r="O469" s="150"/>
      <c r="P469" s="151"/>
      <c r="Q469" s="152" t="s">
        <v>29</v>
      </c>
      <c r="R469" s="153"/>
      <c r="S469" s="153"/>
      <c r="T469" s="153"/>
      <c r="U469" s="154"/>
      <c r="V469" s="155" t="s">
        <v>30</v>
      </c>
      <c r="W469" s="156"/>
      <c r="X469" s="156"/>
      <c r="Y469" s="156"/>
      <c r="Z469" s="157"/>
      <c r="AA469" s="158" t="s">
        <v>42</v>
      </c>
      <c r="AB469" s="159"/>
      <c r="AC469" s="160" t="s">
        <v>44</v>
      </c>
      <c r="AD469" s="162" t="s">
        <v>47</v>
      </c>
      <c r="AE469" s="163"/>
      <c r="AF469" s="163"/>
      <c r="AG469" s="164"/>
      <c r="AH469" s="138" t="s">
        <v>62</v>
      </c>
    </row>
    <row r="470" spans="1:34" ht="36.75" x14ac:dyDescent="0.25">
      <c r="A470" s="21" t="s">
        <v>32</v>
      </c>
      <c r="B470" s="22" t="s">
        <v>37</v>
      </c>
      <c r="C470" s="23" t="s">
        <v>33</v>
      </c>
      <c r="D470" s="22" t="s">
        <v>38</v>
      </c>
      <c r="E470" s="22" t="s">
        <v>34</v>
      </c>
      <c r="F470" s="25" t="s">
        <v>35</v>
      </c>
      <c r="G470" s="27" t="s">
        <v>39</v>
      </c>
      <c r="H470" s="10" t="s">
        <v>40</v>
      </c>
      <c r="I470" s="10" t="s">
        <v>45</v>
      </c>
      <c r="J470" s="10" t="s">
        <v>46</v>
      </c>
      <c r="K470" s="28" t="s">
        <v>41</v>
      </c>
      <c r="L470" s="30" t="s">
        <v>39</v>
      </c>
      <c r="M470" s="13" t="s">
        <v>40</v>
      </c>
      <c r="N470" s="13" t="s">
        <v>45</v>
      </c>
      <c r="O470" s="13" t="s">
        <v>46</v>
      </c>
      <c r="P470" s="31" t="s">
        <v>41</v>
      </c>
      <c r="Q470" s="33" t="s">
        <v>39</v>
      </c>
      <c r="R470" s="12" t="s">
        <v>40</v>
      </c>
      <c r="S470" s="12" t="s">
        <v>45</v>
      </c>
      <c r="T470" s="12" t="s">
        <v>46</v>
      </c>
      <c r="U470" s="34" t="s">
        <v>41</v>
      </c>
      <c r="V470" s="36" t="s">
        <v>39</v>
      </c>
      <c r="W470" s="11" t="s">
        <v>40</v>
      </c>
      <c r="X470" s="11" t="s">
        <v>45</v>
      </c>
      <c r="Y470" s="11" t="s">
        <v>46</v>
      </c>
      <c r="Z470" s="37" t="s">
        <v>41</v>
      </c>
      <c r="AA470" s="39" t="s">
        <v>41</v>
      </c>
      <c r="AB470" s="40" t="s">
        <v>43</v>
      </c>
      <c r="AC470" s="161"/>
      <c r="AD470" s="43" t="s">
        <v>27</v>
      </c>
      <c r="AE470" s="1" t="s">
        <v>28</v>
      </c>
      <c r="AF470" s="1" t="s">
        <v>29</v>
      </c>
      <c r="AG470" s="1" t="s">
        <v>30</v>
      </c>
      <c r="AH470" s="139"/>
    </row>
    <row r="471" spans="1:34" x14ac:dyDescent="0.25">
      <c r="A471" s="24">
        <v>2</v>
      </c>
      <c r="B471" s="9">
        <v>9</v>
      </c>
      <c r="C471" s="9">
        <v>500</v>
      </c>
      <c r="D471" s="9">
        <v>2</v>
      </c>
      <c r="E471" s="48">
        <f>B471*C471/60+D471</f>
        <v>77</v>
      </c>
      <c r="F471" s="100">
        <v>76</v>
      </c>
      <c r="G471" s="49">
        <f>B$5*(1-AD471*C$5)</f>
        <v>0</v>
      </c>
      <c r="H471" s="50">
        <f>G471+E471</f>
        <v>77</v>
      </c>
      <c r="I471" s="15">
        <f>(H471/D$5)^E$5</f>
        <v>0.13693992990275231</v>
      </c>
      <c r="J471" s="15">
        <f>(G471/D$5)^E$5</f>
        <v>0</v>
      </c>
      <c r="K471" s="29">
        <f>1-EXP(J471-I471)</f>
        <v>0.1279773929583623</v>
      </c>
      <c r="L471" s="51">
        <f>B$6*(1-AE471*C$6)</f>
        <v>0</v>
      </c>
      <c r="M471" s="52">
        <f>L471+E471</f>
        <v>77</v>
      </c>
      <c r="N471" s="17">
        <f>(M471/D$6)^E$6</f>
        <v>0.10605109964467559</v>
      </c>
      <c r="O471" s="17">
        <f>(L471/D$6)^E$6</f>
        <v>0</v>
      </c>
      <c r="P471" s="32">
        <f>1-EXP(O471-N471)</f>
        <v>0.10062131102974814</v>
      </c>
      <c r="Q471" s="53">
        <f>B$7*(1-AF471*C$7)</f>
        <v>0</v>
      </c>
      <c r="R471" s="54">
        <f>Q471+E471</f>
        <v>77</v>
      </c>
      <c r="S471" s="16">
        <f>(R471/D$7)^E$7</f>
        <v>0.2221804751105394</v>
      </c>
      <c r="T471" s="16">
        <f>(Q471/D$7)^E$7</f>
        <v>0</v>
      </c>
      <c r="U471" s="35">
        <f>1-EXP(T471-S471)</f>
        <v>0.19922916791162293</v>
      </c>
      <c r="V471" s="55">
        <f>B$8*(1-AG471*C$8)</f>
        <v>0</v>
      </c>
      <c r="W471" s="56">
        <f>V471+E471</f>
        <v>77</v>
      </c>
      <c r="X471" s="18">
        <f>(W471/D$8)^E$8</f>
        <v>1.1551497592884551E-2</v>
      </c>
      <c r="Y471" s="18">
        <f>(V471/D$8)^E$8</f>
        <v>0</v>
      </c>
      <c r="Z471" s="38">
        <f>1-EXP(Y471-X471)</f>
        <v>1.1485035204098715E-2</v>
      </c>
      <c r="AA471" s="41">
        <f>K471*P471*U471*Z471</f>
        <v>2.9465138194053318E-5</v>
      </c>
      <c r="AB471" s="42">
        <f>1-AA471</f>
        <v>0.99997053486180598</v>
      </c>
      <c r="AC471" s="47">
        <f>(AD471*F$5+AE471*F$6+AF471*F$7+AG471*F$8)+E471</f>
        <v>77</v>
      </c>
      <c r="AD471" s="43">
        <v>0</v>
      </c>
      <c r="AE471" s="1">
        <v>0</v>
      </c>
      <c r="AF471" s="1">
        <v>0</v>
      </c>
      <c r="AG471" s="1">
        <v>0</v>
      </c>
      <c r="AH471" s="74">
        <v>40</v>
      </c>
    </row>
    <row r="472" spans="1:34" x14ac:dyDescent="0.25">
      <c r="A472" s="76">
        <v>1</v>
      </c>
      <c r="B472" s="58">
        <v>6</v>
      </c>
      <c r="C472" s="9">
        <v>500</v>
      </c>
      <c r="D472" s="58">
        <v>5</v>
      </c>
      <c r="E472" s="48">
        <f t="shared" ref="E472:E474" si="49">B472*C472/60+D472</f>
        <v>55</v>
      </c>
      <c r="F472" s="100">
        <v>106</v>
      </c>
      <c r="G472" s="49">
        <f>H471*(1-AD472*C$5)</f>
        <v>77</v>
      </c>
      <c r="H472" s="50">
        <f>G472+E472</f>
        <v>132</v>
      </c>
      <c r="I472" s="15">
        <f>(H472/D$5)^E$5</f>
        <v>0.34793173894508389</v>
      </c>
      <c r="J472" s="15">
        <f>(G472/D$5)^E$5</f>
        <v>0.13693992990275231</v>
      </c>
      <c r="K472" s="29">
        <f>1-EXP(J472-I472)</f>
        <v>0.19021930026645628</v>
      </c>
      <c r="L472" s="51">
        <f>M471*(1-AE472*C$6)</f>
        <v>77</v>
      </c>
      <c r="M472" s="52">
        <f>L472+E472</f>
        <v>132</v>
      </c>
      <c r="N472" s="17">
        <f>(M472/D$6)^E$6</f>
        <v>0.29214038913862722</v>
      </c>
      <c r="O472" s="17">
        <f>(L472/D$6)^E$6</f>
        <v>0.10605109964467559</v>
      </c>
      <c r="P472" s="32">
        <f>1-EXP(O472-N472)</f>
        <v>0.16980053641757786</v>
      </c>
      <c r="Q472" s="53">
        <f>R471*(1-AF472*C$7)</f>
        <v>77</v>
      </c>
      <c r="R472" s="54">
        <f>Q472+E472</f>
        <v>132</v>
      </c>
      <c r="S472" s="16">
        <f>(R472/D$7)^E$7</f>
        <v>0.82324306668270808</v>
      </c>
      <c r="T472" s="16">
        <f>(Q472/D$7)^E$7</f>
        <v>0.2221804751105394</v>
      </c>
      <c r="U472" s="35">
        <f>1-EXP(T472-S472)</f>
        <v>0.45177121680306542</v>
      </c>
      <c r="V472" s="55">
        <f>W471*(1-AG472*C$8)</f>
        <v>77</v>
      </c>
      <c r="W472" s="56">
        <f>V472+E472</f>
        <v>132</v>
      </c>
      <c r="X472" s="18">
        <f>(W472/D$8)^E$8</f>
        <v>4.5171946303006208E-2</v>
      </c>
      <c r="Y472" s="18">
        <f>(V472/D$8)^E$8</f>
        <v>1.1551497592884551E-2</v>
      </c>
      <c r="Z472" s="38">
        <f>1-EXP(Y472-X472)</f>
        <v>3.3061562270589318E-2</v>
      </c>
      <c r="AA472" s="41">
        <f>K472*P472*U472*Z472</f>
        <v>4.8243140003936076E-4</v>
      </c>
      <c r="AB472" s="42">
        <f>1-AA472</f>
        <v>0.99951756859996066</v>
      </c>
      <c r="AC472" s="47">
        <f>AF472*F$7+E472+AC471</f>
        <v>132</v>
      </c>
      <c r="AD472" s="43">
        <v>0</v>
      </c>
      <c r="AE472" s="1">
        <v>0</v>
      </c>
      <c r="AF472" s="1">
        <v>0</v>
      </c>
      <c r="AG472" s="1">
        <v>0</v>
      </c>
      <c r="AH472" s="74">
        <v>110</v>
      </c>
    </row>
    <row r="473" spans="1:34" x14ac:dyDescent="0.25">
      <c r="A473" s="24">
        <v>3</v>
      </c>
      <c r="B473" s="9">
        <v>5</v>
      </c>
      <c r="C473" s="58">
        <v>500</v>
      </c>
      <c r="D473" s="58">
        <v>4</v>
      </c>
      <c r="E473" s="48">
        <f t="shared" si="49"/>
        <v>45.666666666666664</v>
      </c>
      <c r="F473" s="100">
        <v>95</v>
      </c>
      <c r="G473" s="68">
        <f>H472*(1-AD473*C$5)</f>
        <v>132</v>
      </c>
      <c r="H473" s="69">
        <f>G473+E473</f>
        <v>177.66666666666666</v>
      </c>
      <c r="I473" s="70">
        <f>(H473/D$5)^E$5</f>
        <v>0.58172730301954589</v>
      </c>
      <c r="J473" s="70">
        <f>(G473/D$5)^E$5</f>
        <v>0.34793173894508389</v>
      </c>
      <c r="K473" s="29">
        <f>1-EXP(J473-I473)</f>
        <v>0.20847638478091435</v>
      </c>
      <c r="L473" s="51">
        <f>M472*(1-AE473*C$6)</f>
        <v>92.399999999999991</v>
      </c>
      <c r="M473" s="52">
        <f>L473+E473</f>
        <v>138.06666666666666</v>
      </c>
      <c r="N473" s="17">
        <f>(M473/D$6)^E$6</f>
        <v>0.31789202412323359</v>
      </c>
      <c r="O473" s="17">
        <f>(L473/D$6)^E$6</f>
        <v>0.14940871089337018</v>
      </c>
      <c r="P473" s="32">
        <f>1-EXP(O473-N473)</f>
        <v>0.15505463728965418</v>
      </c>
      <c r="Q473" s="53">
        <f>R472*(1-AF473*C$7)</f>
        <v>92.399999999999991</v>
      </c>
      <c r="R473" s="54">
        <f>Q473+E473</f>
        <v>138.06666666666666</v>
      </c>
      <c r="S473" s="16">
        <f>(R473/D$7)^E$7</f>
        <v>0.91822541626396692</v>
      </c>
      <c r="T473" s="16">
        <f>(Q473/D$7)^E$7</f>
        <v>0.34603204471909926</v>
      </c>
      <c r="U473" s="35">
        <f>1-EXP(T473-S473)</f>
        <v>0.43571360936248182</v>
      </c>
      <c r="V473" s="55">
        <f>W472*(1-AG473*C$8)</f>
        <v>132</v>
      </c>
      <c r="W473" s="56">
        <f>V473+E473</f>
        <v>177.66666666666666</v>
      </c>
      <c r="X473" s="18">
        <f>(W473/D$8)^E$8</f>
        <v>9.5789922449281015E-2</v>
      </c>
      <c r="Y473" s="18">
        <f>(V473/D$8)^E$8</f>
        <v>4.5171946303006208E-2</v>
      </c>
      <c r="Z473" s="38">
        <f>1-EXP(Y473-X473)</f>
        <v>4.9358230996020658E-2</v>
      </c>
      <c r="AA473" s="41">
        <f>K473*P473*U473*Z473</f>
        <v>6.9518811379223455E-4</v>
      </c>
      <c r="AB473" s="42">
        <f>1-AA473</f>
        <v>0.99930481188620779</v>
      </c>
      <c r="AC473" s="47">
        <f>(AF473*F$7)+E473+AC472</f>
        <v>185.66666666666666</v>
      </c>
      <c r="AD473" s="77">
        <v>0</v>
      </c>
      <c r="AE473" s="78">
        <v>1</v>
      </c>
      <c r="AF473" s="78">
        <v>1</v>
      </c>
      <c r="AG473" s="78">
        <v>0</v>
      </c>
      <c r="AH473" s="74">
        <v>67</v>
      </c>
    </row>
    <row r="474" spans="1:34" ht="15.75" thickBot="1" x14ac:dyDescent="0.3">
      <c r="A474" s="57">
        <v>4</v>
      </c>
      <c r="B474" s="58">
        <v>8</v>
      </c>
      <c r="C474" s="58">
        <v>500</v>
      </c>
      <c r="D474" s="9">
        <v>3</v>
      </c>
      <c r="E474" s="48">
        <f t="shared" si="49"/>
        <v>69.666666666666671</v>
      </c>
      <c r="F474" s="100">
        <v>140</v>
      </c>
      <c r="G474" s="68">
        <f>H473*(1-AD474*C$5)</f>
        <v>124.36666666666665</v>
      </c>
      <c r="H474" s="69">
        <f>G474+E474</f>
        <v>194.0333333333333</v>
      </c>
      <c r="I474" s="70">
        <f>(H474/D$5)^E$5</f>
        <v>0.67752796083510003</v>
      </c>
      <c r="J474" s="70">
        <f>(G474/D$5)^E$5</f>
        <v>0.31386223054487455</v>
      </c>
      <c r="K474" s="29">
        <f>1-EXP(J474-I474)</f>
        <v>0.30487648535250744</v>
      </c>
      <c r="L474" s="51">
        <f>M473*(1-AE474*C$6)</f>
        <v>96.646666666666661</v>
      </c>
      <c r="M474" s="52">
        <f>L474+E474</f>
        <v>166.31333333333333</v>
      </c>
      <c r="N474" s="17">
        <f>(M474/D$6)^E$6</f>
        <v>0.45108200336097515</v>
      </c>
      <c r="O474" s="17">
        <f>(L474/D$6)^E$6</f>
        <v>0.16257881242500377</v>
      </c>
      <c r="P474" s="32">
        <f>1-EXP(O474-N474)</f>
        <v>0.25061558609399515</v>
      </c>
      <c r="Q474" s="53">
        <f>R473*(1-AF474*C$7)</f>
        <v>96.646666666666661</v>
      </c>
      <c r="R474" s="54">
        <f>Q474+E474</f>
        <v>166.31333333333333</v>
      </c>
      <c r="S474" s="16">
        <f>(R474/D$7)^E$7</f>
        <v>1.443398348879422</v>
      </c>
      <c r="T474" s="16">
        <f>(Q474/D$7)^E$7</f>
        <v>0.3859557780221517</v>
      </c>
      <c r="U474" s="35">
        <f>1-EXP(T474-S474)</f>
        <v>0.65265701953009181</v>
      </c>
      <c r="V474" s="55">
        <f>W473*(1-AG474*C$8)</f>
        <v>177.66666666666666</v>
      </c>
      <c r="W474" s="56">
        <f>V474+E474</f>
        <v>247.33333333333331</v>
      </c>
      <c r="X474" s="18">
        <f>(W474/D$8)^E$8</f>
        <v>0.221218713919872</v>
      </c>
      <c r="Y474" s="18">
        <f>(V474/D$8)^E$8</f>
        <v>9.5789922449281015E-2</v>
      </c>
      <c r="Z474" s="38">
        <f>1-EXP(Y474-X474)</f>
        <v>0.11788142344277242</v>
      </c>
      <c r="AA474" s="41">
        <f>K474*P474*U474*Z474</f>
        <v>5.8784440736788278E-3</v>
      </c>
      <c r="AB474" s="42">
        <f>1-AA474</f>
        <v>0.99412155592632112</v>
      </c>
      <c r="AC474" s="47">
        <f>(AF474*F$7)+E474+AC473</f>
        <v>263.33333333333331</v>
      </c>
      <c r="AD474" s="80">
        <v>1</v>
      </c>
      <c r="AE474" s="45">
        <v>1</v>
      </c>
      <c r="AF474" s="81">
        <v>1</v>
      </c>
      <c r="AG474" s="45">
        <v>0</v>
      </c>
      <c r="AH474" s="94">
        <v>85</v>
      </c>
    </row>
    <row r="475" spans="1:34" ht="18.75" x14ac:dyDescent="0.3">
      <c r="A475" s="132" t="s">
        <v>53</v>
      </c>
      <c r="B475" s="132"/>
      <c r="C475" s="132"/>
      <c r="D475" s="132"/>
      <c r="E475" s="132"/>
      <c r="F475" s="132"/>
      <c r="G475" s="132"/>
      <c r="H475" s="132"/>
      <c r="I475" s="132"/>
      <c r="J475" s="132"/>
      <c r="AG475" s="46"/>
    </row>
    <row r="476" spans="1:34" ht="15.75" x14ac:dyDescent="0.25">
      <c r="A476" s="19" t="s">
        <v>48</v>
      </c>
      <c r="B476" s="60" t="s">
        <v>49</v>
      </c>
      <c r="C476" s="61" t="s">
        <v>50</v>
      </c>
      <c r="D476" s="19" t="s">
        <v>58</v>
      </c>
      <c r="E476" s="60" t="s">
        <v>57</v>
      </c>
      <c r="F476" s="61" t="s">
        <v>50</v>
      </c>
      <c r="G476" s="19" t="s">
        <v>54</v>
      </c>
      <c r="H476" s="60" t="s">
        <v>61</v>
      </c>
      <c r="I476" s="61" t="s">
        <v>50</v>
      </c>
      <c r="J476" s="19" t="s">
        <v>82</v>
      </c>
      <c r="K476" s="83" t="s">
        <v>84</v>
      </c>
      <c r="L476" s="61" t="s">
        <v>50</v>
      </c>
      <c r="M476" s="61" t="s">
        <v>85</v>
      </c>
      <c r="O476" s="174" t="s">
        <v>64</v>
      </c>
      <c r="P476" s="174"/>
      <c r="Q476" s="175" t="s">
        <v>109</v>
      </c>
      <c r="R476" s="175"/>
    </row>
    <row r="477" spans="1:34" ht="24.75" x14ac:dyDescent="0.25">
      <c r="A477" s="61" t="s">
        <v>51</v>
      </c>
      <c r="B477" s="1">
        <f>AA471</f>
        <v>2.9465138194053318E-5</v>
      </c>
      <c r="C477" s="59">
        <f>MAX(AC471+1*L464-F471,0)</f>
        <v>13</v>
      </c>
      <c r="D477" s="62" t="s">
        <v>55</v>
      </c>
      <c r="E477" s="1">
        <f>AA471*AA472</f>
        <v>1.4214907871310384E-8</v>
      </c>
      <c r="F477" s="1">
        <f>MAX(AC472+2*L464-F472,0)</f>
        <v>50</v>
      </c>
      <c r="G477" s="62" t="s">
        <v>59</v>
      </c>
      <c r="H477" s="1">
        <f>AA471*AA472*AA473</f>
        <v>9.8820349907866532E-12</v>
      </c>
      <c r="I477" s="1">
        <f>AC473+3*L464-F473</f>
        <v>126.66666666666666</v>
      </c>
      <c r="J477" s="62" t="s">
        <v>83</v>
      </c>
      <c r="K477" s="1">
        <f>AA471*AA472*AA473*AA474</f>
        <v>5.8090990027476612E-14</v>
      </c>
      <c r="L477" s="1">
        <f>AC474+4*L464-F474</f>
        <v>171.33333333333331</v>
      </c>
      <c r="M477" s="1">
        <f>B477*C477*AH471+E477*F477*AH472+H477*I477*AH473+K477*L477*AH474</f>
        <v>1.5400138565735338E-2</v>
      </c>
      <c r="O477" s="1" t="s">
        <v>27</v>
      </c>
      <c r="P477" s="1">
        <f>H462</f>
        <v>1820</v>
      </c>
      <c r="Q477" s="1">
        <f>(K471*(1-P471)*(1-U471)*(1-Z471))+(P471*(1-K471)*(1-U471)*(1-Z471))+(U471*(1-K471)*(1-P471)*(1-Z471))+(Z471*(1-K471)*(1-P471)*(1-U471))</f>
        <v>0.32223571239848364</v>
      </c>
      <c r="R477" s="1">
        <f>Q477*(L$7*(J$5*K$5+L$5)+I$5)</f>
        <v>11357.197683484555</v>
      </c>
    </row>
    <row r="478" spans="1:34" ht="24.75" x14ac:dyDescent="0.25">
      <c r="A478" s="62" t="s">
        <v>52</v>
      </c>
      <c r="B478" s="1">
        <f>AB471</f>
        <v>0.99997053486180598</v>
      </c>
      <c r="C478" s="59">
        <f>MAX(AC471-F471,0)</f>
        <v>1</v>
      </c>
      <c r="D478" s="62" t="s">
        <v>56</v>
      </c>
      <c r="E478" s="1">
        <f>AA471*AB472+AA472*AB471</f>
        <v>5.118681084176715E-4</v>
      </c>
      <c r="F478" s="1">
        <f>MAX(AC472+1*L464-F472,0)</f>
        <v>38</v>
      </c>
      <c r="G478" s="62" t="s">
        <v>60</v>
      </c>
      <c r="H478" s="1">
        <f>AA471*AA472*AB473+AA472*AA473*AB471+AA471*AA473*AB472</f>
        <v>3.7004965063759961E-7</v>
      </c>
      <c r="I478" s="1">
        <f>AC473+2*L464-F473</f>
        <v>114.66666666666666</v>
      </c>
      <c r="J478" s="62" t="s">
        <v>59</v>
      </c>
      <c r="K478">
        <f>AB471*AA472*AA473*AA474+AB472*AA471*AA473*AA474*+AB473*AA471*AA472*AA474+AB474*AA471*AA472*AA473</f>
        <v>1.9812818067182465E-9</v>
      </c>
      <c r="L478" s="1">
        <f>AC474+3*L464-F474</f>
        <v>159.33333333333331</v>
      </c>
      <c r="M478" s="1">
        <f>B478*C478*AH471+E478*F478*AH472+H478*I478*AH473+K478*L478*AH474</f>
        <v>42.141299888934007</v>
      </c>
      <c r="O478" s="1" t="s">
        <v>28</v>
      </c>
      <c r="P478" s="1">
        <f>2*H463</f>
        <v>5440</v>
      </c>
      <c r="Q478" s="1">
        <f t="shared" ref="Q478:Q480" si="50">(K472*(1-P472)*(1-U472)*(1-Z472))+(P472*(1-K472)*(1-U472)*(1-Z472))+(U472*(1-K472)*(1-P472)*(1-Z472))+(Z472*(1-K472)*(1-P472)*(1-U472))</f>
        <v>0.46246423864147862</v>
      </c>
      <c r="R478" s="1">
        <f t="shared" ref="R478:R480" si="51">Q478*(L$7*(J$5*K$5+L$5)+I$5)</f>
        <v>16299.552090918914</v>
      </c>
    </row>
    <row r="479" spans="1:34" ht="24.75" x14ac:dyDescent="0.25">
      <c r="A479" s="1"/>
      <c r="B479" s="1"/>
      <c r="C479" s="1"/>
      <c r="D479" s="62" t="s">
        <v>52</v>
      </c>
      <c r="E479" s="1">
        <f>AB471*AB472</f>
        <v>0.99948811767667456</v>
      </c>
      <c r="F479" s="59">
        <f>MAX(AC472-F472,0)</f>
        <v>26</v>
      </c>
      <c r="G479" s="62" t="s">
        <v>56</v>
      </c>
      <c r="H479" s="1">
        <f>AA471*AB472*AB473+AA472*AB471*AB473*+AA473*AB471*AB472</f>
        <v>2.9765415350659954E-5</v>
      </c>
      <c r="I479" s="1">
        <f>AC473+1*L464-F473</f>
        <v>102.66666666666666</v>
      </c>
      <c r="J479" s="62" t="s">
        <v>60</v>
      </c>
      <c r="K479" s="1">
        <f>AA471*AA472*AB473*AB474 + AA471*AA473*AB472*AB474 + AA471*AA474*AB472*AB473 + AA472*AA473*AB471*AB474 + AA472*AA474*AB471*AB473 + AA473*AA474*AB471*AB472</f>
        <v>7.4593031469662012E-6</v>
      </c>
      <c r="L479" s="1">
        <f>AC474+2*L464-F474</f>
        <v>147.33333333333331</v>
      </c>
      <c r="M479" s="1">
        <f>B479*C479*AH471+E479*F479*AH472+H479*I479*AH473+K479*L479*AH474</f>
        <v>2858.8341782654252</v>
      </c>
      <c r="O479" s="1" t="s">
        <v>29</v>
      </c>
      <c r="P479" s="1">
        <f>2*(F464*(J462*K462+L462)+H464)</f>
        <v>28200</v>
      </c>
      <c r="Q479" s="1">
        <f t="shared" si="50"/>
        <v>0.45597674876540167</v>
      </c>
      <c r="R479" s="1">
        <f t="shared" si="51"/>
        <v>16070.900510236583</v>
      </c>
    </row>
    <row r="480" spans="1:34" ht="24.75" x14ac:dyDescent="0.25">
      <c r="A480" s="1"/>
      <c r="B480" s="1"/>
      <c r="C480" s="1"/>
      <c r="D480" s="1"/>
      <c r="E480" s="1"/>
      <c r="F480" s="1"/>
      <c r="G480" s="62" t="s">
        <v>52</v>
      </c>
      <c r="H480" s="1">
        <f>AB471*AB472*AB473</f>
        <v>0.99879328541738921</v>
      </c>
      <c r="I480" s="63">
        <f>AC473-F473</f>
        <v>90.666666666666657</v>
      </c>
      <c r="J480" s="62" t="s">
        <v>56</v>
      </c>
      <c r="K480" s="1">
        <f>AA471*AB472*AB473*AB474+AA472*AB471*AB473*AB474+AA473*AB471*AB472*AB474+AA474*AB471*AB472*AB473</f>
        <v>7.0706035637578216E-3</v>
      </c>
      <c r="L480" s="1">
        <f>AC474+1*L464-F474</f>
        <v>135.33333333333331</v>
      </c>
      <c r="M480" s="1">
        <f>B480*C480*AH471+E480*F480*AH472+H480*I480*AH473+K480*L480*AH474</f>
        <v>6148.6717874772603</v>
      </c>
      <c r="O480" s="1" t="s">
        <v>30</v>
      </c>
      <c r="P480" s="1">
        <v>0</v>
      </c>
      <c r="Q480" s="1">
        <f t="shared" si="50"/>
        <v>0.44461024415327632</v>
      </c>
      <c r="R480" s="1">
        <f t="shared" si="51"/>
        <v>15670.288055182224</v>
      </c>
    </row>
    <row r="481" spans="1:20" ht="30" x14ac:dyDescent="0.25">
      <c r="I481" s="84"/>
      <c r="J481" s="62" t="s">
        <v>52</v>
      </c>
      <c r="K481" s="85">
        <f>AB471*AB472*AB473*AB474</f>
        <v>0.99292193494789716</v>
      </c>
      <c r="L481" s="1">
        <f>AC474+0*L464-F474</f>
        <v>123.33333333333331</v>
      </c>
      <c r="M481" s="1">
        <f>B481*C481*AH471+E481*F481*AH472+H481*I481*AH473+K481*L481*AH474</f>
        <v>10409.13161803712</v>
      </c>
      <c r="O481" s="64" t="s">
        <v>65</v>
      </c>
      <c r="P481" s="65">
        <f>SUM(P477:P480)</f>
        <v>35460</v>
      </c>
      <c r="Q481" s="96" t="s">
        <v>108</v>
      </c>
      <c r="R481" s="97">
        <f>SUM(R477:R480)</f>
        <v>59397.938339822278</v>
      </c>
    </row>
    <row r="482" spans="1:20" x14ac:dyDescent="0.25">
      <c r="L482" s="176" t="s">
        <v>63</v>
      </c>
      <c r="M482" s="177">
        <f>SUM(M477:M481)</f>
        <v>19458.794283807307</v>
      </c>
    </row>
    <row r="483" spans="1:20" x14ac:dyDescent="0.25">
      <c r="L483" s="176"/>
      <c r="M483" s="177"/>
    </row>
    <row r="484" spans="1:20" x14ac:dyDescent="0.25">
      <c r="A484" s="178" t="s">
        <v>90</v>
      </c>
      <c r="B484" s="178"/>
      <c r="C484" s="178"/>
      <c r="D484" s="178"/>
      <c r="E484" s="178"/>
      <c r="F484" s="178"/>
      <c r="G484" s="178"/>
      <c r="H484" s="178"/>
      <c r="I484" s="178"/>
      <c r="J484" s="178"/>
      <c r="K484" s="178"/>
      <c r="L484" s="178"/>
      <c r="M484" s="178"/>
      <c r="N484" s="178"/>
    </row>
    <row r="485" spans="1:20" ht="15.75" x14ac:dyDescent="0.25">
      <c r="A485" s="87" t="s">
        <v>75</v>
      </c>
      <c r="B485" s="62" t="s">
        <v>49</v>
      </c>
      <c r="C485" s="90" t="s">
        <v>87</v>
      </c>
      <c r="D485" s="62" t="s">
        <v>88</v>
      </c>
      <c r="E485" s="87" t="s">
        <v>77</v>
      </c>
      <c r="F485" s="62" t="s">
        <v>57</v>
      </c>
      <c r="G485" s="90" t="s">
        <v>78</v>
      </c>
      <c r="H485" s="62" t="s">
        <v>88</v>
      </c>
      <c r="I485" s="87" t="s">
        <v>76</v>
      </c>
      <c r="J485" s="62" t="s">
        <v>61</v>
      </c>
      <c r="K485" s="90" t="s">
        <v>102</v>
      </c>
      <c r="L485" s="62" t="s">
        <v>88</v>
      </c>
      <c r="M485" s="87" t="s">
        <v>86</v>
      </c>
      <c r="N485" s="62" t="s">
        <v>84</v>
      </c>
      <c r="O485" s="90" t="s">
        <v>103</v>
      </c>
      <c r="P485" s="62" t="s">
        <v>88</v>
      </c>
    </row>
    <row r="486" spans="1:20" ht="24.75" x14ac:dyDescent="0.25">
      <c r="A486" s="62" t="s">
        <v>51</v>
      </c>
      <c r="B486" s="86">
        <v>2.9465138194053318E-5</v>
      </c>
      <c r="C486" s="86">
        <f>AC471+1*L464</f>
        <v>89</v>
      </c>
      <c r="D486" s="86">
        <f>MAX(B486*1.5*((C486-F471)*500/2),0)</f>
        <v>0.14364254869600993</v>
      </c>
      <c r="E486" s="62" t="s">
        <v>55</v>
      </c>
      <c r="F486" s="86">
        <v>1.4214907871310384E-8</v>
      </c>
      <c r="G486" s="86">
        <f>AC472+2*L464</f>
        <v>156</v>
      </c>
      <c r="H486" s="86">
        <f>F486*1.5*((G486-F472)*500/2+(G486-F473)*500+(G486-F474)*500)</f>
        <v>1.0874404521552443E-3</v>
      </c>
      <c r="I486" s="62" t="s">
        <v>59</v>
      </c>
      <c r="J486" s="86">
        <v>9.8820349907866532E-12</v>
      </c>
      <c r="K486" s="86">
        <f>AC473+3*L464</f>
        <v>221.66666666666666</v>
      </c>
      <c r="L486" s="86">
        <f>J486*1.5*((K486-G486)*500/2+(K486-G486)*500)</f>
        <v>7.3003533494436387E-7</v>
      </c>
      <c r="M486" s="62" t="s">
        <v>83</v>
      </c>
      <c r="N486" s="86">
        <v>5.8090990027476612E-14</v>
      </c>
      <c r="O486" s="86">
        <f>AC474+4*L464</f>
        <v>311.33333333333331</v>
      </c>
      <c r="P486" s="86">
        <f>N486*1.5*((O486-K486)*500/2)</f>
        <v>1.9533095396739008E-9</v>
      </c>
    </row>
    <row r="487" spans="1:20" ht="24.75" x14ac:dyDescent="0.25">
      <c r="A487" s="62" t="s">
        <v>52</v>
      </c>
      <c r="B487" s="86">
        <v>0.99997053486180598</v>
      </c>
      <c r="C487" s="88">
        <f>AC471</f>
        <v>77</v>
      </c>
      <c r="D487" s="86">
        <f>MAX(B487*1.5*((C487-F471)*500/2),0)</f>
        <v>374.98895057317725</v>
      </c>
      <c r="E487" s="62" t="s">
        <v>56</v>
      </c>
      <c r="F487" s="86">
        <v>5.118681084176715E-4</v>
      </c>
      <c r="G487" s="86">
        <f>AC472+1*L464</f>
        <v>144</v>
      </c>
      <c r="H487" s="86">
        <f>F487*1.5*((G487-F472)*500/2+(G487-F473)*500+(G487-F474)*500)</f>
        <v>27.640877854554262</v>
      </c>
      <c r="I487" s="62" t="s">
        <v>60</v>
      </c>
      <c r="J487" s="86">
        <v>3.7004965063759961E-7</v>
      </c>
      <c r="K487" s="86">
        <f>AC473+2*L464</f>
        <v>209.66666666666666</v>
      </c>
      <c r="L487" s="86">
        <f>J487*1.5*((K487-G487)*500/2+(K487-G487)*500)</f>
        <v>2.7337417940852669E-2</v>
      </c>
      <c r="M487" s="62" t="s">
        <v>59</v>
      </c>
      <c r="N487" s="86">
        <v>1.9812818067182465E-9</v>
      </c>
      <c r="O487" s="86">
        <f>AC474+3*L464</f>
        <v>299.33333333333331</v>
      </c>
      <c r="P487" s="86">
        <f>N487*1.5*((O487-K487)*500/2)</f>
        <v>6.6620600750901034E-5</v>
      </c>
    </row>
    <row r="488" spans="1:20" x14ac:dyDescent="0.25">
      <c r="A488" s="86"/>
      <c r="B488" s="86"/>
      <c r="C488" s="89" t="s">
        <v>89</v>
      </c>
      <c r="D488" s="89">
        <f>SUM(D486:D487)</f>
        <v>375.13259312187324</v>
      </c>
      <c r="E488" s="62" t="s">
        <v>52</v>
      </c>
      <c r="F488" s="86">
        <v>0.99948811767667456</v>
      </c>
      <c r="G488" s="86">
        <f>AC472+0*L464</f>
        <v>132</v>
      </c>
      <c r="H488" s="86">
        <f>F488*1.5*((G488-F472)*500/2+(G488-F473)*500)</f>
        <v>37480.804412875295</v>
      </c>
      <c r="I488" s="62" t="s">
        <v>56</v>
      </c>
      <c r="J488" s="86">
        <v>2.9765415350659954E-5</v>
      </c>
      <c r="K488" s="86">
        <f>AC473+1*L464</f>
        <v>197.66666666666666</v>
      </c>
      <c r="L488" s="86">
        <f>J488*1.5*((K488-G488)*500/2+(K488-F474)*500)</f>
        <v>2.0203275669260443</v>
      </c>
      <c r="M488" s="62" t="s">
        <v>60</v>
      </c>
      <c r="N488" s="86">
        <v>7.4593031469662012E-6</v>
      </c>
      <c r="O488" s="86">
        <f>AC474+2*L464</f>
        <v>287.33333333333331</v>
      </c>
      <c r="P488" s="86">
        <f>N488*1.5*((O488-K488)*500/2)</f>
        <v>0.2508190683167385</v>
      </c>
    </row>
    <row r="489" spans="1:20" x14ac:dyDescent="0.25">
      <c r="A489" s="86"/>
      <c r="B489" s="86"/>
      <c r="C489" s="86"/>
      <c r="D489" s="86"/>
      <c r="E489" s="86"/>
      <c r="F489" s="86"/>
      <c r="G489" s="89" t="s">
        <v>79</v>
      </c>
      <c r="H489" s="89">
        <f>SUM(H486:H488)</f>
        <v>37508.446378170302</v>
      </c>
      <c r="I489" s="62" t="s">
        <v>52</v>
      </c>
      <c r="J489" s="86">
        <v>0.99879328541738921</v>
      </c>
      <c r="K489" s="86">
        <f>AC473+0*L464</f>
        <v>185.66666666666666</v>
      </c>
      <c r="L489" s="86">
        <f>J489*1.5*((K489-G488)*500/2+(K489-F474)*500)</f>
        <v>54309.384894570525</v>
      </c>
      <c r="M489" s="62" t="s">
        <v>56</v>
      </c>
      <c r="N489" s="86">
        <v>7.0706035637578216E-3</v>
      </c>
      <c r="O489" s="86">
        <f>AC474+1*L464</f>
        <v>275.33333333333331</v>
      </c>
      <c r="P489" s="86">
        <f>N489*1.5*((O489-K489)*500/2)</f>
        <v>237.74904483135674</v>
      </c>
    </row>
    <row r="490" spans="1:20" x14ac:dyDescent="0.25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9" t="s">
        <v>79</v>
      </c>
      <c r="L490" s="89">
        <f>SUM(L486:L489)</f>
        <v>54311.43256028543</v>
      </c>
      <c r="M490" s="62" t="s">
        <v>52</v>
      </c>
      <c r="N490" s="86">
        <v>0.99292193494789716</v>
      </c>
      <c r="O490" s="86">
        <f>AC474+0*L464</f>
        <v>263.33333333333331</v>
      </c>
      <c r="P490" s="86">
        <f>N490*1.5*((O490-K489)*500/2)</f>
        <v>28918.851355357499</v>
      </c>
      <c r="Q490" s="179" t="s">
        <v>80</v>
      </c>
      <c r="R490" s="179"/>
      <c r="S490" s="180">
        <f>D488+H489+L490+P491</f>
        <v>121351.86281745732</v>
      </c>
      <c r="T490" s="180"/>
    </row>
    <row r="491" spans="1:20" x14ac:dyDescent="0.25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9" t="s">
        <v>79</v>
      </c>
      <c r="P491" s="89">
        <f>SUM(P486:P490)</f>
        <v>29156.851285879726</v>
      </c>
      <c r="Q491" s="179"/>
      <c r="R491" s="179"/>
      <c r="S491" s="180"/>
      <c r="T491" s="180"/>
    </row>
    <row r="492" spans="1:20" x14ac:dyDescent="0.25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</row>
    <row r="493" spans="1:20" x14ac:dyDescent="0.25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</row>
    <row r="494" spans="1:20" x14ac:dyDescent="0.25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</row>
    <row r="495" spans="1:20" ht="24.75" thickBot="1" x14ac:dyDescent="0.3">
      <c r="O495" s="131" t="s">
        <v>81</v>
      </c>
      <c r="P495" s="131"/>
      <c r="Q495" s="131">
        <f>(R481+P481+M482+S490)/AC474</f>
        <v>894.94403332058334</v>
      </c>
      <c r="R495" s="131"/>
    </row>
    <row r="496" spans="1:20" x14ac:dyDescent="0.25">
      <c r="A496" s="181" t="s">
        <v>118</v>
      </c>
      <c r="B496" s="182"/>
    </row>
    <row r="497" spans="1:34" ht="15.75" thickBot="1" x14ac:dyDescent="0.3">
      <c r="A497" s="183"/>
      <c r="B497" s="184"/>
    </row>
    <row r="498" spans="1:34" ht="21" x14ac:dyDescent="0.35">
      <c r="A498" s="185" t="s">
        <v>14</v>
      </c>
      <c r="B498" s="185"/>
      <c r="C498" s="165"/>
      <c r="D498" s="165"/>
      <c r="E498" s="165"/>
      <c r="F498" s="165"/>
      <c r="G498" s="165"/>
      <c r="H498" s="165"/>
      <c r="I498" s="165"/>
      <c r="J498" s="165"/>
      <c r="K498" s="165"/>
      <c r="L498" s="165"/>
      <c r="M498" s="165"/>
      <c r="O498" s="166" t="s">
        <v>72</v>
      </c>
      <c r="P498" s="166"/>
      <c r="Q498" s="166"/>
      <c r="R498" s="166"/>
      <c r="S498" s="166"/>
      <c r="T498" s="166"/>
      <c r="U498" s="166"/>
      <c r="V498" s="166"/>
    </row>
    <row r="499" spans="1:34" ht="36" x14ac:dyDescent="0.25">
      <c r="A499" s="4" t="s">
        <v>15</v>
      </c>
      <c r="B499" s="4" t="s">
        <v>16</v>
      </c>
      <c r="C499" s="4" t="s">
        <v>31</v>
      </c>
      <c r="D499" s="6" t="s">
        <v>17</v>
      </c>
      <c r="E499" s="6" t="s">
        <v>18</v>
      </c>
      <c r="F499" s="6" t="s">
        <v>19</v>
      </c>
      <c r="G499" s="6" t="s">
        <v>20</v>
      </c>
      <c r="H499" s="6" t="s">
        <v>21</v>
      </c>
      <c r="I499" s="6" t="s">
        <v>22</v>
      </c>
      <c r="J499" s="6" t="s">
        <v>23</v>
      </c>
      <c r="K499" s="6" t="s">
        <v>24</v>
      </c>
      <c r="L499" s="6" t="s">
        <v>25</v>
      </c>
      <c r="M499" s="6" t="s">
        <v>26</v>
      </c>
      <c r="N499" s="8"/>
      <c r="O499" s="167" t="s">
        <v>32</v>
      </c>
      <c r="P499" s="167" t="s">
        <v>35</v>
      </c>
      <c r="Q499" s="167" t="s">
        <v>66</v>
      </c>
      <c r="R499" s="99" t="s">
        <v>67</v>
      </c>
      <c r="S499" s="99" t="s">
        <v>68</v>
      </c>
      <c r="T499" s="167" t="s">
        <v>69</v>
      </c>
      <c r="U499" s="71" t="s">
        <v>33</v>
      </c>
      <c r="V499" s="99" t="s">
        <v>70</v>
      </c>
    </row>
    <row r="500" spans="1:34" x14ac:dyDescent="0.25">
      <c r="A500" s="3" t="s">
        <v>27</v>
      </c>
      <c r="B500" s="3">
        <v>0</v>
      </c>
      <c r="C500" s="3">
        <v>0.3</v>
      </c>
      <c r="D500" s="3">
        <v>243</v>
      </c>
      <c r="E500" s="3">
        <v>1.73</v>
      </c>
      <c r="F500" s="3">
        <v>5</v>
      </c>
      <c r="G500" s="169">
        <v>12</v>
      </c>
      <c r="H500" s="3">
        <v>1820</v>
      </c>
      <c r="I500" s="169">
        <v>19645</v>
      </c>
      <c r="J500" s="3">
        <v>20</v>
      </c>
      <c r="K500" s="3">
        <v>40</v>
      </c>
      <c r="L500" s="3">
        <v>500</v>
      </c>
      <c r="M500" s="3">
        <v>1000</v>
      </c>
      <c r="O500" s="168"/>
      <c r="P500" s="168"/>
      <c r="Q500" s="168"/>
      <c r="R500" s="72" t="s">
        <v>71</v>
      </c>
      <c r="S500" s="72" t="s">
        <v>71</v>
      </c>
      <c r="T500" s="168"/>
      <c r="U500" s="73">
        <v>500</v>
      </c>
      <c r="V500" s="3">
        <v>1.5</v>
      </c>
    </row>
    <row r="501" spans="1:34" x14ac:dyDescent="0.25">
      <c r="A501" s="3" t="s">
        <v>28</v>
      </c>
      <c r="B501" s="3">
        <v>0</v>
      </c>
      <c r="C501" s="3">
        <v>0.3</v>
      </c>
      <c r="D501" s="3">
        <v>254</v>
      </c>
      <c r="E501" s="3">
        <v>1.88</v>
      </c>
      <c r="F501" s="3">
        <v>3</v>
      </c>
      <c r="G501" s="170"/>
      <c r="H501" s="3">
        <v>2720</v>
      </c>
      <c r="I501" s="170"/>
      <c r="J501" s="5"/>
      <c r="K501" s="5"/>
      <c r="L501" s="5"/>
      <c r="M501" s="5"/>
      <c r="O501" s="74">
        <v>1</v>
      </c>
      <c r="P501" s="74">
        <v>106</v>
      </c>
      <c r="Q501" s="74">
        <v>110</v>
      </c>
      <c r="R501" s="74">
        <v>6</v>
      </c>
      <c r="S501" s="74">
        <v>5</v>
      </c>
      <c r="T501" s="74">
        <f>R501*$U$5/60+S501</f>
        <v>55</v>
      </c>
      <c r="U501" s="75"/>
    </row>
    <row r="502" spans="1:34" x14ac:dyDescent="0.25">
      <c r="A502" s="3" t="s">
        <v>29</v>
      </c>
      <c r="B502" s="3">
        <v>0</v>
      </c>
      <c r="C502" s="3">
        <v>0.3</v>
      </c>
      <c r="D502" s="3">
        <v>143</v>
      </c>
      <c r="E502" s="3">
        <v>2.4300000000000002</v>
      </c>
      <c r="F502" s="3">
        <v>8</v>
      </c>
      <c r="G502" s="170"/>
      <c r="H502" s="3">
        <v>3700</v>
      </c>
      <c r="I502" s="170"/>
      <c r="J502" s="5"/>
      <c r="K502" s="140" t="s">
        <v>73</v>
      </c>
      <c r="L502" s="141">
        <v>12</v>
      </c>
      <c r="M502" s="140" t="s">
        <v>74</v>
      </c>
      <c r="N502" s="141">
        <v>19645</v>
      </c>
      <c r="O502" s="74">
        <v>2</v>
      </c>
      <c r="P502" s="74">
        <v>76</v>
      </c>
      <c r="Q502" s="74">
        <v>40</v>
      </c>
      <c r="R502" s="74">
        <v>9</v>
      </c>
      <c r="S502" s="74">
        <v>2</v>
      </c>
      <c r="T502" s="74">
        <f t="shared" ref="T502:T504" si="52">R502*$U$5/60+S502</f>
        <v>77</v>
      </c>
      <c r="U502" s="75"/>
    </row>
    <row r="503" spans="1:34" x14ac:dyDescent="0.25">
      <c r="A503" s="3" t="s">
        <v>30</v>
      </c>
      <c r="B503" s="3">
        <v>0</v>
      </c>
      <c r="C503" s="3">
        <v>0.3</v>
      </c>
      <c r="D503" s="3">
        <v>449</v>
      </c>
      <c r="E503" s="3">
        <v>2.5299999999999998</v>
      </c>
      <c r="F503" s="3">
        <v>4</v>
      </c>
      <c r="G503" s="171"/>
      <c r="H503" s="3">
        <v>4320</v>
      </c>
      <c r="I503" s="171"/>
      <c r="J503" s="5"/>
      <c r="K503" s="140"/>
      <c r="L503" s="141"/>
      <c r="M503" s="140"/>
      <c r="N503" s="141"/>
      <c r="O503" s="74">
        <v>3</v>
      </c>
      <c r="P503" s="74">
        <v>95</v>
      </c>
      <c r="Q503" s="74">
        <v>67</v>
      </c>
      <c r="R503" s="74">
        <v>5</v>
      </c>
      <c r="S503" s="74">
        <v>4</v>
      </c>
      <c r="T503" s="74">
        <f t="shared" si="52"/>
        <v>45.666666666666664</v>
      </c>
      <c r="U503" s="75"/>
    </row>
    <row r="504" spans="1:34" ht="15.75" thickBo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O504" s="74">
        <v>4</v>
      </c>
      <c r="P504" s="74">
        <v>140</v>
      </c>
      <c r="Q504" s="94">
        <v>85</v>
      </c>
      <c r="R504" s="94">
        <v>8</v>
      </c>
      <c r="S504" s="94">
        <v>3</v>
      </c>
      <c r="T504" s="74">
        <f t="shared" si="52"/>
        <v>69.666666666666671</v>
      </c>
    </row>
    <row r="505" spans="1:34" ht="15" customHeight="1" x14ac:dyDescent="0.25">
      <c r="A505" s="142" t="s">
        <v>101</v>
      </c>
      <c r="B505" s="144" t="s">
        <v>107</v>
      </c>
      <c r="C505" s="144"/>
      <c r="D505" s="144"/>
      <c r="E505" s="144"/>
      <c r="F505" s="20" t="s">
        <v>27</v>
      </c>
      <c r="G505" s="20" t="s">
        <v>28</v>
      </c>
      <c r="H505" s="20" t="s">
        <v>29</v>
      </c>
      <c r="I505" s="20" t="s">
        <v>30</v>
      </c>
    </row>
    <row r="506" spans="1:34" ht="15.75" customHeight="1" thickBot="1" x14ac:dyDescent="0.3">
      <c r="A506" s="143"/>
      <c r="B506" s="145"/>
      <c r="C506" s="145"/>
      <c r="D506" s="145"/>
      <c r="E506" s="145"/>
      <c r="F506" s="20">
        <v>168</v>
      </c>
      <c r="G506" s="26">
        <v>84</v>
      </c>
      <c r="H506" s="26">
        <v>84</v>
      </c>
      <c r="I506" s="26">
        <v>252</v>
      </c>
    </row>
    <row r="507" spans="1:34" ht="15.75" customHeight="1" thickBot="1" x14ac:dyDescent="0.3">
      <c r="A507" s="143"/>
      <c r="B507" s="145"/>
      <c r="C507" s="145"/>
      <c r="D507" s="145"/>
      <c r="E507" s="145"/>
      <c r="F507" s="7"/>
      <c r="G507" s="146" t="s">
        <v>27</v>
      </c>
      <c r="H507" s="147"/>
      <c r="I507" s="147"/>
      <c r="J507" s="147"/>
      <c r="K507" s="148"/>
      <c r="L507" s="149" t="s">
        <v>28</v>
      </c>
      <c r="M507" s="150"/>
      <c r="N507" s="150"/>
      <c r="O507" s="150"/>
      <c r="P507" s="151"/>
      <c r="Q507" s="152" t="s">
        <v>29</v>
      </c>
      <c r="R507" s="153"/>
      <c r="S507" s="153"/>
      <c r="T507" s="153"/>
      <c r="U507" s="154"/>
      <c r="V507" s="155" t="s">
        <v>30</v>
      </c>
      <c r="W507" s="156"/>
      <c r="X507" s="156"/>
      <c r="Y507" s="156"/>
      <c r="Z507" s="157"/>
      <c r="AA507" s="158" t="s">
        <v>42</v>
      </c>
      <c r="AB507" s="159"/>
      <c r="AC507" s="160" t="s">
        <v>44</v>
      </c>
      <c r="AD507" s="162" t="s">
        <v>47</v>
      </c>
      <c r="AE507" s="163"/>
      <c r="AF507" s="163"/>
      <c r="AG507" s="164"/>
      <c r="AH507" s="138" t="s">
        <v>62</v>
      </c>
    </row>
    <row r="508" spans="1:34" ht="36.75" x14ac:dyDescent="0.25">
      <c r="A508" s="21" t="s">
        <v>32</v>
      </c>
      <c r="B508" s="22" t="s">
        <v>37</v>
      </c>
      <c r="C508" s="23" t="s">
        <v>33</v>
      </c>
      <c r="D508" s="22" t="s">
        <v>38</v>
      </c>
      <c r="E508" s="22" t="s">
        <v>34</v>
      </c>
      <c r="F508" s="25" t="s">
        <v>35</v>
      </c>
      <c r="G508" s="27" t="s">
        <v>39</v>
      </c>
      <c r="H508" s="10" t="s">
        <v>40</v>
      </c>
      <c r="I508" s="10" t="s">
        <v>45</v>
      </c>
      <c r="J508" s="10" t="s">
        <v>46</v>
      </c>
      <c r="K508" s="28" t="s">
        <v>41</v>
      </c>
      <c r="L508" s="30" t="s">
        <v>39</v>
      </c>
      <c r="M508" s="13" t="s">
        <v>40</v>
      </c>
      <c r="N508" s="13" t="s">
        <v>45</v>
      </c>
      <c r="O508" s="13" t="s">
        <v>46</v>
      </c>
      <c r="P508" s="31" t="s">
        <v>41</v>
      </c>
      <c r="Q508" s="33" t="s">
        <v>39</v>
      </c>
      <c r="R508" s="12" t="s">
        <v>40</v>
      </c>
      <c r="S508" s="12" t="s">
        <v>45</v>
      </c>
      <c r="T508" s="12" t="s">
        <v>46</v>
      </c>
      <c r="U508" s="34" t="s">
        <v>41</v>
      </c>
      <c r="V508" s="36" t="s">
        <v>39</v>
      </c>
      <c r="W508" s="11" t="s">
        <v>40</v>
      </c>
      <c r="X508" s="11" t="s">
        <v>45</v>
      </c>
      <c r="Y508" s="11" t="s">
        <v>46</v>
      </c>
      <c r="Z508" s="37" t="s">
        <v>41</v>
      </c>
      <c r="AA508" s="39" t="s">
        <v>41</v>
      </c>
      <c r="AB508" s="40" t="s">
        <v>43</v>
      </c>
      <c r="AC508" s="161"/>
      <c r="AD508" s="43" t="s">
        <v>27</v>
      </c>
      <c r="AE508" s="1" t="s">
        <v>28</v>
      </c>
      <c r="AF508" s="1" t="s">
        <v>29</v>
      </c>
      <c r="AG508" s="1" t="s">
        <v>30</v>
      </c>
      <c r="AH508" s="139"/>
    </row>
    <row r="509" spans="1:34" x14ac:dyDescent="0.25">
      <c r="A509" s="24">
        <v>2</v>
      </c>
      <c r="B509" s="9">
        <v>9</v>
      </c>
      <c r="C509" s="9">
        <v>500</v>
      </c>
      <c r="D509" s="9">
        <v>2</v>
      </c>
      <c r="E509" s="48">
        <f>B509*C509/60+D509</f>
        <v>77</v>
      </c>
      <c r="F509" s="100">
        <v>76</v>
      </c>
      <c r="G509" s="49">
        <f>B$5*(1-AD509*C$5)</f>
        <v>0</v>
      </c>
      <c r="H509" s="50">
        <f>G509+E509</f>
        <v>77</v>
      </c>
      <c r="I509" s="15">
        <f>(H509/D$5)^E$5</f>
        <v>0.13693992990275231</v>
      </c>
      <c r="J509" s="15">
        <f>(G509/D$5)^E$5</f>
        <v>0</v>
      </c>
      <c r="K509" s="29">
        <f>1-EXP(J509-I509)</f>
        <v>0.1279773929583623</v>
      </c>
      <c r="L509" s="51">
        <f>B$6*(1-AE509*C$6)</f>
        <v>0</v>
      </c>
      <c r="M509" s="52">
        <f>L509+E509</f>
        <v>77</v>
      </c>
      <c r="N509" s="17">
        <f>(M509/D$6)^E$6</f>
        <v>0.10605109964467559</v>
      </c>
      <c r="O509" s="17">
        <f>(L509/D$6)^E$6</f>
        <v>0</v>
      </c>
      <c r="P509" s="32">
        <f>1-EXP(O509-N509)</f>
        <v>0.10062131102974814</v>
      </c>
      <c r="Q509" s="53">
        <f>B$7*(1-AF509*C$7)</f>
        <v>0</v>
      </c>
      <c r="R509" s="54">
        <f>Q509+E509</f>
        <v>77</v>
      </c>
      <c r="S509" s="16">
        <f>(R509/D$7)^E$7</f>
        <v>0.2221804751105394</v>
      </c>
      <c r="T509" s="16">
        <f>(Q509/D$7)^E$7</f>
        <v>0</v>
      </c>
      <c r="U509" s="35">
        <f>1-EXP(T509-S509)</f>
        <v>0.19922916791162293</v>
      </c>
      <c r="V509" s="55">
        <f>B$8*(1-AG509*C$8)</f>
        <v>0</v>
      </c>
      <c r="W509" s="56">
        <f>V509+E509</f>
        <v>77</v>
      </c>
      <c r="X509" s="18">
        <f>(W509/D$8)^E$8</f>
        <v>1.1551497592884551E-2</v>
      </c>
      <c r="Y509" s="18">
        <f>(V509/D$8)^E$8</f>
        <v>0</v>
      </c>
      <c r="Z509" s="38">
        <f>1-EXP(Y509-X509)</f>
        <v>1.1485035204098715E-2</v>
      </c>
      <c r="AA509" s="41">
        <f>K509*P509*U509*Z509</f>
        <v>2.9465138194053318E-5</v>
      </c>
      <c r="AB509" s="42">
        <f>1-AA509</f>
        <v>0.99997053486180598</v>
      </c>
      <c r="AC509" s="47">
        <f>(AD509*F$5+AE509*F$6+AF509*F$7+AG509*F$8)+E509</f>
        <v>77</v>
      </c>
      <c r="AD509" s="43">
        <v>0</v>
      </c>
      <c r="AE509" s="1">
        <v>0</v>
      </c>
      <c r="AF509" s="1">
        <v>0</v>
      </c>
      <c r="AG509" s="1">
        <v>0</v>
      </c>
      <c r="AH509" s="74">
        <v>40</v>
      </c>
    </row>
    <row r="510" spans="1:34" x14ac:dyDescent="0.25">
      <c r="A510" s="76">
        <v>1</v>
      </c>
      <c r="B510" s="58">
        <v>6</v>
      </c>
      <c r="C510" s="9">
        <v>500</v>
      </c>
      <c r="D510" s="58">
        <v>5</v>
      </c>
      <c r="E510" s="48">
        <f t="shared" ref="E510:E512" si="53">B510*C510/60+D510</f>
        <v>55</v>
      </c>
      <c r="F510" s="100">
        <v>106</v>
      </c>
      <c r="G510" s="49">
        <f>H509*(1-AD510*C$5)</f>
        <v>77</v>
      </c>
      <c r="H510" s="50">
        <f>G510+E510</f>
        <v>132</v>
      </c>
      <c r="I510" s="15">
        <f>(H510/D$5)^E$5</f>
        <v>0.34793173894508389</v>
      </c>
      <c r="J510" s="15">
        <f>(G510/D$5)^E$5</f>
        <v>0.13693992990275231</v>
      </c>
      <c r="K510" s="29">
        <f>1-EXP(J510-I510)</f>
        <v>0.19021930026645628</v>
      </c>
      <c r="L510" s="51">
        <f>M509*(1-AE510*C$6)</f>
        <v>77</v>
      </c>
      <c r="M510" s="52">
        <f>L510+E510</f>
        <v>132</v>
      </c>
      <c r="N510" s="17">
        <f>(M510/D$6)^E$6</f>
        <v>0.29214038913862722</v>
      </c>
      <c r="O510" s="17">
        <f>(L510/D$6)^E$6</f>
        <v>0.10605109964467559</v>
      </c>
      <c r="P510" s="32">
        <f>1-EXP(O510-N510)</f>
        <v>0.16980053641757786</v>
      </c>
      <c r="Q510" s="53">
        <f>R509*(1-AF510*C$7)</f>
        <v>77</v>
      </c>
      <c r="R510" s="54">
        <f>Q510+E510</f>
        <v>132</v>
      </c>
      <c r="S510" s="16">
        <f>(R510/D$7)^E$7</f>
        <v>0.82324306668270808</v>
      </c>
      <c r="T510" s="16">
        <f>(Q510/D$7)^E$7</f>
        <v>0.2221804751105394</v>
      </c>
      <c r="U510" s="35">
        <f>1-EXP(T510-S510)</f>
        <v>0.45177121680306542</v>
      </c>
      <c r="V510" s="55">
        <f>W509*(1-AG510*C$8)</f>
        <v>77</v>
      </c>
      <c r="W510" s="56">
        <f>V510+E510</f>
        <v>132</v>
      </c>
      <c r="X510" s="18">
        <f>(W510/D$8)^E$8</f>
        <v>4.5171946303006208E-2</v>
      </c>
      <c r="Y510" s="18">
        <f>(V510/D$8)^E$8</f>
        <v>1.1551497592884551E-2</v>
      </c>
      <c r="Z510" s="38">
        <f>1-EXP(Y510-X510)</f>
        <v>3.3061562270589318E-2</v>
      </c>
      <c r="AA510" s="41">
        <f>K510*P510*U510*Z510</f>
        <v>4.8243140003936076E-4</v>
      </c>
      <c r="AB510" s="42">
        <f>1-AA510</f>
        <v>0.99951756859996066</v>
      </c>
      <c r="AC510" s="47">
        <f>AF510*F$7+E510+AC509</f>
        <v>132</v>
      </c>
      <c r="AD510" s="43">
        <v>0</v>
      </c>
      <c r="AE510" s="1">
        <v>0</v>
      </c>
      <c r="AF510" s="1">
        <v>0</v>
      </c>
      <c r="AG510" s="1">
        <v>0</v>
      </c>
      <c r="AH510" s="74">
        <v>110</v>
      </c>
    </row>
    <row r="511" spans="1:34" x14ac:dyDescent="0.25">
      <c r="A511" s="24">
        <v>4</v>
      </c>
      <c r="B511" s="9">
        <v>8</v>
      </c>
      <c r="C511" s="58">
        <v>500</v>
      </c>
      <c r="D511" s="58">
        <v>3</v>
      </c>
      <c r="E511" s="48">
        <f t="shared" si="53"/>
        <v>69.666666666666671</v>
      </c>
      <c r="F511" s="100">
        <v>140</v>
      </c>
      <c r="G511" s="68">
        <f>H510*(1-AD511*C$5)</f>
        <v>132</v>
      </c>
      <c r="H511" s="69">
        <f>G511+E511</f>
        <v>201.66666666666669</v>
      </c>
      <c r="I511" s="70">
        <f>(H511/D$5)^E$5</f>
        <v>0.72429948125597088</v>
      </c>
      <c r="J511" s="70">
        <f>(G511/D$5)^E$5</f>
        <v>0.34793173894508389</v>
      </c>
      <c r="K511" s="29">
        <f>1-EXP(J511-I511)</f>
        <v>0.313650113265873</v>
      </c>
      <c r="L511" s="51">
        <f>M510*(1-AE511*C$6)</f>
        <v>92.399999999999991</v>
      </c>
      <c r="M511" s="52">
        <f>L511+E511</f>
        <v>162.06666666666666</v>
      </c>
      <c r="N511" s="17">
        <f>(M511/D$6)^E$6</f>
        <v>0.42967171801167126</v>
      </c>
      <c r="O511" s="17">
        <f>(L511/D$6)^E$6</f>
        <v>0.14940871089337018</v>
      </c>
      <c r="P511" s="32">
        <f>1-EXP(O511-N511)</f>
        <v>0.24441500891064738</v>
      </c>
      <c r="Q511" s="53">
        <f>R510*(1-AF511*C$7)</f>
        <v>92.399999999999991</v>
      </c>
      <c r="R511" s="54">
        <f>Q511+E511</f>
        <v>162.06666666666666</v>
      </c>
      <c r="S511" s="16">
        <f>(R511/D$7)^E$7</f>
        <v>1.3554675326688883</v>
      </c>
      <c r="T511" s="16">
        <f>(Q511/D$7)^E$7</f>
        <v>0.34603204471909926</v>
      </c>
      <c r="U511" s="35">
        <f>1-EXP(T511-S511)</f>
        <v>0.63557535638113816</v>
      </c>
      <c r="V511" s="55">
        <f>W510*(1-AG511*C$8)</f>
        <v>132</v>
      </c>
      <c r="W511" s="56">
        <f>V511+E511</f>
        <v>201.66666666666669</v>
      </c>
      <c r="X511" s="18">
        <f>(W511/D$8)^E$8</f>
        <v>0.13199001575183039</v>
      </c>
      <c r="Y511" s="18">
        <f>(V511/D$8)^E$8</f>
        <v>4.5171946303006208E-2</v>
      </c>
      <c r="Z511" s="38">
        <f>1-EXP(Y511-X511)</f>
        <v>8.3156117626247084E-2</v>
      </c>
      <c r="AA511" s="41">
        <f>K511*P511*U511*Z511</f>
        <v>4.051674746877525E-3</v>
      </c>
      <c r="AB511" s="42">
        <f>1-AA511</f>
        <v>0.99594832525312249</v>
      </c>
      <c r="AC511" s="47">
        <f>(AF511*F$7)+E511+AC510</f>
        <v>209.66666666666669</v>
      </c>
      <c r="AD511" s="77">
        <v>0</v>
      </c>
      <c r="AE511" s="78">
        <v>1</v>
      </c>
      <c r="AF511" s="78">
        <v>1</v>
      </c>
      <c r="AG511" s="78">
        <v>0</v>
      </c>
      <c r="AH511" s="74">
        <v>85</v>
      </c>
    </row>
    <row r="512" spans="1:34" ht="15.75" thickBot="1" x14ac:dyDescent="0.3">
      <c r="A512" s="57">
        <v>3</v>
      </c>
      <c r="B512" s="58">
        <v>5</v>
      </c>
      <c r="C512" s="58">
        <v>500</v>
      </c>
      <c r="D512" s="9">
        <v>4</v>
      </c>
      <c r="E512" s="48">
        <f t="shared" si="53"/>
        <v>45.666666666666664</v>
      </c>
      <c r="F512" s="100">
        <v>95</v>
      </c>
      <c r="G512" s="68">
        <f>H511*(1-AD512*C$5)</f>
        <v>141.16666666666666</v>
      </c>
      <c r="H512" s="69">
        <f>G512+E512</f>
        <v>186.83333333333331</v>
      </c>
      <c r="I512" s="70">
        <f>(H512/D$5)^E$5</f>
        <v>0.63462502467785764</v>
      </c>
      <c r="J512" s="70">
        <f>(G512/D$5)^E$5</f>
        <v>0.39078490830583607</v>
      </c>
      <c r="K512" s="29">
        <f>1-EXP(J512-I512)</f>
        <v>0.21638708887710267</v>
      </c>
      <c r="L512" s="51">
        <f>M511*(1-AE512*C$6)</f>
        <v>113.44666666666666</v>
      </c>
      <c r="M512" s="52">
        <f>L512+E512</f>
        <v>159.11333333333332</v>
      </c>
      <c r="N512" s="17">
        <f>(M512/D$6)^E$6</f>
        <v>0.41506964346675868</v>
      </c>
      <c r="O512" s="17">
        <f>(L512/D$6)^E$6</f>
        <v>0.21974605320663379</v>
      </c>
      <c r="P512" s="32">
        <f>1-EXP(O512-N512)</f>
        <v>0.17743156014988948</v>
      </c>
      <c r="Q512" s="53">
        <f>R511*(1-AF512*C$7)</f>
        <v>113.44666666666666</v>
      </c>
      <c r="R512" s="54">
        <f>Q512+E512</f>
        <v>159.11333333333332</v>
      </c>
      <c r="S512" s="16">
        <f>(R512/D$7)^E$7</f>
        <v>1.2962250315687902</v>
      </c>
      <c r="T512" s="16">
        <f>(Q512/D$7)^E$7</f>
        <v>0.56974084673408143</v>
      </c>
      <c r="U512" s="35">
        <f>1-EXP(T512-S512)</f>
        <v>0.51639372505256609</v>
      </c>
      <c r="V512" s="55">
        <f>W511*(1-AG512*C$8)</f>
        <v>201.66666666666669</v>
      </c>
      <c r="W512" s="56">
        <f>V512+E512</f>
        <v>247.33333333333334</v>
      </c>
      <c r="X512" s="18">
        <f>(W512/D$8)^E$8</f>
        <v>0.22121871391987213</v>
      </c>
      <c r="Y512" s="18">
        <f>(V512/D$8)^E$8</f>
        <v>0.13199001575183039</v>
      </c>
      <c r="Z512" s="38">
        <f>1-EXP(Y512-X512)</f>
        <v>8.5363626009572924E-2</v>
      </c>
      <c r="AA512" s="41">
        <f>K512*P512*U512*Z512</f>
        <v>1.6924506979174338E-3</v>
      </c>
      <c r="AB512" s="42">
        <f>1-AA512</f>
        <v>0.99830754930208254</v>
      </c>
      <c r="AC512" s="47">
        <f>(AF512*F$7)+E512+AC511</f>
        <v>263.33333333333337</v>
      </c>
      <c r="AD512" s="80">
        <v>1</v>
      </c>
      <c r="AE512" s="45">
        <v>1</v>
      </c>
      <c r="AF512" s="81">
        <v>1</v>
      </c>
      <c r="AG512" s="45">
        <v>0</v>
      </c>
      <c r="AH512" s="94">
        <v>67</v>
      </c>
    </row>
    <row r="513" spans="1:33" ht="18.75" x14ac:dyDescent="0.3">
      <c r="A513" s="132" t="s">
        <v>53</v>
      </c>
      <c r="B513" s="132"/>
      <c r="C513" s="132"/>
      <c r="D513" s="132"/>
      <c r="E513" s="132"/>
      <c r="F513" s="132"/>
      <c r="G513" s="132"/>
      <c r="H513" s="132"/>
      <c r="I513" s="132"/>
      <c r="J513" s="132"/>
      <c r="AG513" s="46"/>
    </row>
    <row r="514" spans="1:33" ht="15.75" x14ac:dyDescent="0.25">
      <c r="A514" s="19" t="s">
        <v>48</v>
      </c>
      <c r="B514" s="60" t="s">
        <v>49</v>
      </c>
      <c r="C514" s="61" t="s">
        <v>50</v>
      </c>
      <c r="D514" s="19" t="s">
        <v>58</v>
      </c>
      <c r="E514" s="60" t="s">
        <v>57</v>
      </c>
      <c r="F514" s="61" t="s">
        <v>50</v>
      </c>
      <c r="G514" s="19" t="s">
        <v>82</v>
      </c>
      <c r="H514" s="60" t="s">
        <v>61</v>
      </c>
      <c r="I514" s="61" t="s">
        <v>50</v>
      </c>
      <c r="J514" s="19" t="s">
        <v>54</v>
      </c>
      <c r="K514" s="83" t="s">
        <v>84</v>
      </c>
      <c r="L514" s="61" t="s">
        <v>50</v>
      </c>
      <c r="M514" s="61" t="s">
        <v>85</v>
      </c>
      <c r="O514" s="174" t="s">
        <v>64</v>
      </c>
      <c r="P514" s="174"/>
      <c r="Q514" s="175" t="s">
        <v>109</v>
      </c>
      <c r="R514" s="175"/>
    </row>
    <row r="515" spans="1:33" ht="24.75" x14ac:dyDescent="0.25">
      <c r="A515" s="61" t="s">
        <v>51</v>
      </c>
      <c r="B515" s="1">
        <f>AA509</f>
        <v>2.9465138194053318E-5</v>
      </c>
      <c r="C515" s="59">
        <f>MAX(AC509+1*L502-F509,0)</f>
        <v>13</v>
      </c>
      <c r="D515" s="62" t="s">
        <v>55</v>
      </c>
      <c r="E515" s="1">
        <f>AA509*AA510</f>
        <v>1.4214907871310384E-8</v>
      </c>
      <c r="F515" s="1">
        <f>MAX(AC510+2*L502-F510,0)</f>
        <v>50</v>
      </c>
      <c r="G515" s="62" t="s">
        <v>59</v>
      </c>
      <c r="H515" s="1">
        <f>AA509*AA510*AA511</f>
        <v>5.759418325137884E-11</v>
      </c>
      <c r="I515" s="1">
        <f>AC511+3*L502-F511</f>
        <v>105.66666666666669</v>
      </c>
      <c r="J515" s="62" t="s">
        <v>83</v>
      </c>
      <c r="K515" s="1">
        <f>AA509*AA510*AA511*AA512</f>
        <v>9.7475315639780693E-14</v>
      </c>
      <c r="L515" s="1">
        <f>AC512+4*L502-F512</f>
        <v>216.33333333333337</v>
      </c>
      <c r="M515" s="1">
        <f>B515*C515*AH509+E515*F515*AH510+H515*I515*AH511+K515*L515*AH512</f>
        <v>1.5400572558795551E-2</v>
      </c>
      <c r="O515" s="1" t="s">
        <v>27</v>
      </c>
      <c r="P515" s="1">
        <f>H500</f>
        <v>1820</v>
      </c>
      <c r="Q515" s="1">
        <f>(K509*(1-P509)*(1-U509)*(1-Z509))+(P509*(1-K509)*(1-U509)*(1-Z509))+(U509*(1-K509)*(1-P509)*(1-Z509))+(Z509*(1-K509)*(1-P509)*(1-U509))</f>
        <v>0.32223571239848364</v>
      </c>
      <c r="R515" s="1">
        <f>Q515*(L$7*(J$5*K$5+L$5)+I$5)</f>
        <v>11357.197683484555</v>
      </c>
    </row>
    <row r="516" spans="1:33" ht="24.75" x14ac:dyDescent="0.25">
      <c r="A516" s="62" t="s">
        <v>52</v>
      </c>
      <c r="B516" s="1">
        <f>AB509</f>
        <v>0.99997053486180598</v>
      </c>
      <c r="C516" s="59">
        <f>MAX(AC509-F509,0)</f>
        <v>1</v>
      </c>
      <c r="D516" s="62" t="s">
        <v>56</v>
      </c>
      <c r="E516" s="1">
        <f>AA509*AB510+AA510*AB509</f>
        <v>5.118681084176715E-4</v>
      </c>
      <c r="F516" s="1">
        <f>MAX(AC510+1*L502-F510,0)</f>
        <v>38</v>
      </c>
      <c r="G516" s="62" t="s">
        <v>60</v>
      </c>
      <c r="H516" s="1">
        <f>AA509*AA510*AB511+AA510*AA511*AB509+AA509*AA511*AB510</f>
        <v>2.0880804022959061E-6</v>
      </c>
      <c r="I516" s="1">
        <f>AC511+2*L502-F511</f>
        <v>93.666666666666686</v>
      </c>
      <c r="J516" s="62" t="s">
        <v>59</v>
      </c>
      <c r="K516">
        <f>AB509*AA510*AA511*AA512+AB510*AA509*AA511*AA512*+AB511*AA509*AA510*AA512+AB512*AA509*AA510*AA511</f>
        <v>3.3655566557404108E-9</v>
      </c>
      <c r="L516" s="1">
        <f>AC512+3*L502-F512</f>
        <v>204.33333333333337</v>
      </c>
      <c r="M516" s="1">
        <f>B516*C516*AH509+E516*F516*AH510+H516*I516*AH511+K516*L516*AH512</f>
        <v>42.155100763386862</v>
      </c>
      <c r="O516" s="1" t="s">
        <v>28</v>
      </c>
      <c r="P516" s="1">
        <f>2*H501</f>
        <v>5440</v>
      </c>
      <c r="Q516" s="1">
        <f t="shared" ref="Q516:Q518" si="54">(K510*(1-P510)*(1-U510)*(1-Z510))+(P510*(1-K510)*(1-U510)*(1-Z510))+(U510*(1-K510)*(1-P510)*(1-Z510))+(Z510*(1-K510)*(1-P510)*(1-U510))</f>
        <v>0.46246423864147862</v>
      </c>
      <c r="R516" s="1">
        <f t="shared" ref="R516:R518" si="55">Q516*(L$7*(J$5*K$5+L$5)+I$5)</f>
        <v>16299.552090918914</v>
      </c>
    </row>
    <row r="517" spans="1:33" ht="24.75" x14ac:dyDescent="0.25">
      <c r="A517" s="1"/>
      <c r="B517" s="1"/>
      <c r="C517" s="1"/>
      <c r="D517" s="62" t="s">
        <v>52</v>
      </c>
      <c r="E517" s="1">
        <f>AB509*AB510</f>
        <v>0.99948811767667456</v>
      </c>
      <c r="F517" s="59">
        <f>MAX(AC510-F510,0)</f>
        <v>26</v>
      </c>
      <c r="G517" s="62" t="s">
        <v>56</v>
      </c>
      <c r="H517" s="1">
        <f>AA509*AB510*AB511+AA510*AB509*AB511*+AA511*AB509*AB510</f>
        <v>3.1277279386924402E-5</v>
      </c>
      <c r="I517" s="1">
        <f>AC511+1*L502-F511</f>
        <v>81.666666666666686</v>
      </c>
      <c r="J517" s="62" t="s">
        <v>60</v>
      </c>
      <c r="K517" s="1">
        <f>AA509*AA510*AB511*AB512 + AA509*AA511*AB510*AB512 + AA509*AA512*AB510*AB511 + AA510*AA511*AB509*AB512 + AA510*AA512*AB509*AB511 + AA511*AA512*AB509*AB510</f>
        <v>9.801097596949409E-6</v>
      </c>
      <c r="L517" s="1">
        <f>AC512+2*L502-F512</f>
        <v>192.33333333333337</v>
      </c>
      <c r="M517" s="1">
        <f>B517*C517*AH509+E517*F517*AH510+H517*I517*AH511+K517*L517*AH512</f>
        <v>2858.8794332136999</v>
      </c>
      <c r="O517" s="1" t="s">
        <v>29</v>
      </c>
      <c r="P517" s="1">
        <f>2*(F502*(J500*K500+L500)+H502)</f>
        <v>28200</v>
      </c>
      <c r="Q517" s="1">
        <f t="shared" si="54"/>
        <v>0.45314653041339692</v>
      </c>
      <c r="R517" s="1">
        <f t="shared" si="55"/>
        <v>15971.149464420174</v>
      </c>
    </row>
    <row r="518" spans="1:33" ht="24.75" x14ac:dyDescent="0.25">
      <c r="A518" s="1"/>
      <c r="B518" s="1"/>
      <c r="C518" s="1"/>
      <c r="D518" s="1"/>
      <c r="E518" s="1"/>
      <c r="F518" s="1"/>
      <c r="G518" s="62" t="s">
        <v>52</v>
      </c>
      <c r="H518" s="1">
        <f>AB509*AB510*AB511</f>
        <v>0.9954385169104798</v>
      </c>
      <c r="I518" s="63">
        <f>AC511-F511</f>
        <v>69.666666666666686</v>
      </c>
      <c r="J518" s="62" t="s">
        <v>56</v>
      </c>
      <c r="K518" s="1">
        <f>AA509*AB510*AB511*AB512+AA510*AB509*AB511*AB512+AA511*AB509*AB510*AB512+AA512*AB509*AB510*AB511</f>
        <v>6.2364090130350462E-3</v>
      </c>
      <c r="L518" s="1">
        <f>AC512+1*L502-F512</f>
        <v>180.33333333333337</v>
      </c>
      <c r="M518" s="1">
        <f>B518*C518*AH509+E518*F518*AH510+H518*I518*AH511+K518*L518*AH512</f>
        <v>5970.0054568033875</v>
      </c>
      <c r="O518" s="1" t="s">
        <v>30</v>
      </c>
      <c r="P518" s="1">
        <v>0</v>
      </c>
      <c r="Q518" s="1">
        <f t="shared" si="54"/>
        <v>0.47128086062623648</v>
      </c>
      <c r="R518" s="1">
        <f t="shared" si="55"/>
        <v>16610.293932771703</v>
      </c>
    </row>
    <row r="519" spans="1:33" ht="30" x14ac:dyDescent="0.25">
      <c r="I519" s="84"/>
      <c r="J519" s="62" t="s">
        <v>52</v>
      </c>
      <c r="K519" s="85">
        <f>AB509*AB510*AB511*AB512</f>
        <v>0.99375378629780076</v>
      </c>
      <c r="L519" s="1">
        <f>AC512+0*L502-F512</f>
        <v>168.33333333333337</v>
      </c>
      <c r="M519" s="1">
        <f>B519*C519*AH509+E519*F519*AH510+H519*I519*AH511+K519*L519*AH512</f>
        <v>11207.8864531287</v>
      </c>
      <c r="O519" s="64" t="s">
        <v>65</v>
      </c>
      <c r="P519" s="65">
        <f>SUM(P515:P518)</f>
        <v>35460</v>
      </c>
      <c r="Q519" s="96" t="s">
        <v>108</v>
      </c>
      <c r="R519" s="97">
        <f>SUM(R515:R518)</f>
        <v>60238.193171595347</v>
      </c>
    </row>
    <row r="520" spans="1:33" x14ac:dyDescent="0.25">
      <c r="L520" s="176" t="s">
        <v>63</v>
      </c>
      <c r="M520" s="177">
        <f>SUM(M515:M519)</f>
        <v>20078.941844481735</v>
      </c>
    </row>
    <row r="521" spans="1:33" x14ac:dyDescent="0.25">
      <c r="L521" s="176"/>
      <c r="M521" s="177"/>
    </row>
    <row r="522" spans="1:33" x14ac:dyDescent="0.25">
      <c r="A522" s="178" t="s">
        <v>90</v>
      </c>
      <c r="B522" s="178"/>
      <c r="C522" s="178"/>
      <c r="D522" s="178"/>
      <c r="E522" s="178"/>
      <c r="F522" s="178"/>
      <c r="G522" s="178"/>
      <c r="H522" s="178"/>
      <c r="I522" s="178"/>
      <c r="J522" s="178"/>
      <c r="K522" s="178"/>
      <c r="L522" s="178"/>
      <c r="M522" s="178"/>
      <c r="N522" s="178"/>
    </row>
    <row r="523" spans="1:33" ht="15.75" x14ac:dyDescent="0.25">
      <c r="A523" s="87" t="s">
        <v>75</v>
      </c>
      <c r="B523" s="62" t="s">
        <v>49</v>
      </c>
      <c r="C523" s="90" t="s">
        <v>87</v>
      </c>
      <c r="D523" s="62" t="s">
        <v>88</v>
      </c>
      <c r="E523" s="87" t="s">
        <v>77</v>
      </c>
      <c r="F523" s="62" t="s">
        <v>57</v>
      </c>
      <c r="G523" s="90" t="s">
        <v>78</v>
      </c>
      <c r="H523" s="62" t="s">
        <v>88</v>
      </c>
      <c r="I523" s="87" t="s">
        <v>86</v>
      </c>
      <c r="J523" s="62" t="s">
        <v>61</v>
      </c>
      <c r="K523" s="90" t="s">
        <v>103</v>
      </c>
      <c r="L523" s="62" t="s">
        <v>88</v>
      </c>
      <c r="M523" s="87" t="s">
        <v>76</v>
      </c>
      <c r="N523" s="62" t="s">
        <v>84</v>
      </c>
      <c r="O523" s="90" t="s">
        <v>102</v>
      </c>
      <c r="P523" s="62" t="s">
        <v>88</v>
      </c>
    </row>
    <row r="524" spans="1:33" ht="24.75" x14ac:dyDescent="0.25">
      <c r="A524" s="62" t="s">
        <v>51</v>
      </c>
      <c r="B524" s="86">
        <v>2.9465138194053318E-5</v>
      </c>
      <c r="C524" s="86">
        <f>AC509+1*L502</f>
        <v>89</v>
      </c>
      <c r="D524" s="86">
        <f>MAX(B524*1.5*((C524-F509)*500/2),0)</f>
        <v>0.14364254869600993</v>
      </c>
      <c r="E524" s="62" t="s">
        <v>55</v>
      </c>
      <c r="F524" s="86">
        <v>1.4214907871310384E-8</v>
      </c>
      <c r="G524" s="86">
        <f>AC510+2*L502</f>
        <v>156</v>
      </c>
      <c r="H524" s="86">
        <f>F524*1.5*((G524-F510)*500/2+(G524-F511)*500+(G524-F512)*500)</f>
        <v>1.0874404521552443E-3</v>
      </c>
      <c r="I524" s="62" t="s">
        <v>59</v>
      </c>
      <c r="J524" s="86">
        <v>5.759418325137884E-11</v>
      </c>
      <c r="K524" s="86">
        <f>AC511+3*L502</f>
        <v>245.66666666666669</v>
      </c>
      <c r="L524" s="86">
        <f>J524*1.5*((K524-G524)*500/2+(K524-G524)*500)</f>
        <v>5.8098132354828415E-6</v>
      </c>
      <c r="M524" s="62" t="s">
        <v>83</v>
      </c>
      <c r="N524" s="86">
        <v>9.7475315639780693E-14</v>
      </c>
      <c r="O524" s="86">
        <f>AC512+4*L502</f>
        <v>311.33333333333337</v>
      </c>
      <c r="P524" s="86">
        <f>N524*1.5*((O524-K524)*500/2)</f>
        <v>2.4003296476296002E-9</v>
      </c>
    </row>
    <row r="525" spans="1:33" ht="24.75" x14ac:dyDescent="0.25">
      <c r="A525" s="62" t="s">
        <v>52</v>
      </c>
      <c r="B525" s="86">
        <v>0.99997053486180598</v>
      </c>
      <c r="C525" s="88">
        <f>AC509</f>
        <v>77</v>
      </c>
      <c r="D525" s="86">
        <f>MAX(B525*1.5*((C525-F509)*500/2),0)</f>
        <v>374.98895057317725</v>
      </c>
      <c r="E525" s="62" t="s">
        <v>56</v>
      </c>
      <c r="F525" s="86">
        <v>5.118681084176715E-4</v>
      </c>
      <c r="G525" s="86">
        <f>AC510+1*L502</f>
        <v>144</v>
      </c>
      <c r="H525" s="86">
        <f>F525*1.5*((G525-F510)*500/2+(G525-F511)*500+(G525-F512)*500)</f>
        <v>27.640877854554262</v>
      </c>
      <c r="I525" s="62" t="s">
        <v>60</v>
      </c>
      <c r="J525" s="86">
        <v>2.0880804022959061E-6</v>
      </c>
      <c r="K525" s="86">
        <f>AC511+2*L502</f>
        <v>233.66666666666669</v>
      </c>
      <c r="L525" s="86">
        <f>J525*1.5*((K525-G525)*500/2+(K525-G525)*500)</f>
        <v>0.21063511058159959</v>
      </c>
      <c r="M525" s="62" t="s">
        <v>59</v>
      </c>
      <c r="N525" s="86">
        <v>3.3655566557404108E-9</v>
      </c>
      <c r="O525" s="86">
        <f>AC512+3*L502</f>
        <v>299.33333333333337</v>
      </c>
      <c r="P525" s="86">
        <f>N525*1.5*((O525-K525)*500/2)</f>
        <v>8.2876832647607639E-5</v>
      </c>
    </row>
    <row r="526" spans="1:33" x14ac:dyDescent="0.25">
      <c r="A526" s="86"/>
      <c r="B526" s="86"/>
      <c r="C526" s="89" t="s">
        <v>89</v>
      </c>
      <c r="D526" s="89">
        <f>SUM(D524:D525)</f>
        <v>375.13259312187324</v>
      </c>
      <c r="E526" s="62" t="s">
        <v>52</v>
      </c>
      <c r="F526" s="86">
        <v>0.99948811767667456</v>
      </c>
      <c r="G526" s="86">
        <f>AC510+0*L502</f>
        <v>132</v>
      </c>
      <c r="H526" s="86">
        <f>F526*1.5*((G526-F510)*500/2+(G526-F512)*500)</f>
        <v>37480.804412875295</v>
      </c>
      <c r="I526" s="62" t="s">
        <v>56</v>
      </c>
      <c r="J526" s="86">
        <v>3.1277279386924402E-5</v>
      </c>
      <c r="K526" s="86">
        <f>AC511+1*L502</f>
        <v>221.66666666666669</v>
      </c>
      <c r="L526" s="86">
        <f>J526*1.5*((K526-F511)*500/2+(K526-G526)*500)</f>
        <v>3.0612637199952268</v>
      </c>
      <c r="M526" s="62" t="s">
        <v>60</v>
      </c>
      <c r="N526" s="86">
        <v>9.801097596949409E-6</v>
      </c>
      <c r="O526" s="86">
        <f>AC512+2*L502</f>
        <v>287.33333333333337</v>
      </c>
      <c r="P526" s="86">
        <f>N526*1.5*((O526-K526)*500/2)</f>
        <v>0.24135202832487926</v>
      </c>
    </row>
    <row r="527" spans="1:33" x14ac:dyDescent="0.25">
      <c r="A527" s="86"/>
      <c r="B527" s="86"/>
      <c r="C527" s="86"/>
      <c r="D527" s="86"/>
      <c r="E527" s="86"/>
      <c r="F527" s="86"/>
      <c r="G527" s="89" t="s">
        <v>79</v>
      </c>
      <c r="H527" s="89">
        <f>SUM(H524:H526)</f>
        <v>37508.446378170302</v>
      </c>
      <c r="I527" s="62" t="s">
        <v>52</v>
      </c>
      <c r="J527" s="86">
        <v>0.9954385169104798</v>
      </c>
      <c r="K527" s="86">
        <f>AC511+0*L502</f>
        <v>209.66666666666669</v>
      </c>
      <c r="L527" s="86">
        <f>J527*1.5*((K527-F511)*500/2+(K527-G526)*500)</f>
        <v>83990.124864321755</v>
      </c>
      <c r="M527" s="62" t="s">
        <v>56</v>
      </c>
      <c r="N527" s="86">
        <v>6.2364090130350462E-3</v>
      </c>
      <c r="O527" s="86">
        <f>AC512+1*L502</f>
        <v>275.33333333333337</v>
      </c>
      <c r="P527" s="86">
        <f>N527*1.5*((O527-K527)*500/2)</f>
        <v>153.57157194598804</v>
      </c>
    </row>
    <row r="528" spans="1:33" x14ac:dyDescent="0.25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9" t="s">
        <v>79</v>
      </c>
      <c r="L528" s="89">
        <f>SUM(L524:L527)</f>
        <v>83993.39676896215</v>
      </c>
      <c r="M528" s="62" t="s">
        <v>52</v>
      </c>
      <c r="N528" s="86">
        <v>0.99375378629780076</v>
      </c>
      <c r="O528" s="86">
        <f>AC512+0*L502</f>
        <v>263.33333333333337</v>
      </c>
      <c r="P528" s="86">
        <f>N528*1.5*((O528-K527)*500/2)</f>
        <v>19999.294949243245</v>
      </c>
      <c r="Q528" s="179" t="s">
        <v>80</v>
      </c>
      <c r="R528" s="179"/>
      <c r="S528" s="180">
        <f>D526+H527+L528+P529</f>
        <v>142030.08369635112</v>
      </c>
      <c r="T528" s="180"/>
    </row>
    <row r="529" spans="1:22" x14ac:dyDescent="0.25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9" t="s">
        <v>79</v>
      </c>
      <c r="P529" s="89">
        <f>SUM(P524:P528)</f>
        <v>20153.107956096792</v>
      </c>
      <c r="Q529" s="179"/>
      <c r="R529" s="179"/>
      <c r="S529" s="180"/>
      <c r="T529" s="180"/>
    </row>
    <row r="530" spans="1:22" x14ac:dyDescent="0.25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</row>
    <row r="531" spans="1:22" x14ac:dyDescent="0.25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</row>
    <row r="532" spans="1:22" x14ac:dyDescent="0.25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</row>
    <row r="533" spans="1:22" ht="24.75" thickBot="1" x14ac:dyDescent="0.3">
      <c r="O533" s="131" t="s">
        <v>81</v>
      </c>
      <c r="P533" s="131"/>
      <c r="Q533" s="131">
        <f>(R519+P519+M520+S528)/AC512</f>
        <v>979.01475460415759</v>
      </c>
      <c r="R533" s="131"/>
    </row>
    <row r="534" spans="1:22" x14ac:dyDescent="0.25">
      <c r="A534" s="181" t="s">
        <v>119</v>
      </c>
      <c r="B534" s="182"/>
    </row>
    <row r="535" spans="1:22" ht="15.75" thickBot="1" x14ac:dyDescent="0.3">
      <c r="A535" s="183"/>
      <c r="B535" s="184"/>
    </row>
    <row r="536" spans="1:22" ht="21" x14ac:dyDescent="0.35">
      <c r="A536" s="185" t="s">
        <v>14</v>
      </c>
      <c r="B536" s="185"/>
      <c r="C536" s="165"/>
      <c r="D536" s="165"/>
      <c r="E536" s="165"/>
      <c r="F536" s="165"/>
      <c r="G536" s="165"/>
      <c r="H536" s="165"/>
      <c r="I536" s="165"/>
      <c r="J536" s="165"/>
      <c r="K536" s="165"/>
      <c r="L536" s="165"/>
      <c r="M536" s="165"/>
      <c r="O536" s="166" t="s">
        <v>72</v>
      </c>
      <c r="P536" s="166"/>
      <c r="Q536" s="166"/>
      <c r="R536" s="166"/>
      <c r="S536" s="166"/>
      <c r="T536" s="166"/>
      <c r="U536" s="166"/>
      <c r="V536" s="166"/>
    </row>
    <row r="537" spans="1:22" ht="36" x14ac:dyDescent="0.25">
      <c r="A537" s="4" t="s">
        <v>15</v>
      </c>
      <c r="B537" s="4" t="s">
        <v>16</v>
      </c>
      <c r="C537" s="4" t="s">
        <v>31</v>
      </c>
      <c r="D537" s="6" t="s">
        <v>17</v>
      </c>
      <c r="E537" s="6" t="s">
        <v>18</v>
      </c>
      <c r="F537" s="6" t="s">
        <v>19</v>
      </c>
      <c r="G537" s="6" t="s">
        <v>20</v>
      </c>
      <c r="H537" s="6" t="s">
        <v>21</v>
      </c>
      <c r="I537" s="6" t="s">
        <v>22</v>
      </c>
      <c r="J537" s="6" t="s">
        <v>23</v>
      </c>
      <c r="K537" s="6" t="s">
        <v>24</v>
      </c>
      <c r="L537" s="6" t="s">
        <v>25</v>
      </c>
      <c r="M537" s="6" t="s">
        <v>26</v>
      </c>
      <c r="N537" s="8"/>
      <c r="O537" s="167" t="s">
        <v>32</v>
      </c>
      <c r="P537" s="167" t="s">
        <v>35</v>
      </c>
      <c r="Q537" s="167" t="s">
        <v>66</v>
      </c>
      <c r="R537" s="99" t="s">
        <v>67</v>
      </c>
      <c r="S537" s="99" t="s">
        <v>68</v>
      </c>
      <c r="T537" s="167" t="s">
        <v>69</v>
      </c>
      <c r="U537" s="71" t="s">
        <v>33</v>
      </c>
      <c r="V537" s="99" t="s">
        <v>70</v>
      </c>
    </row>
    <row r="538" spans="1:22" x14ac:dyDescent="0.25">
      <c r="A538" s="3" t="s">
        <v>27</v>
      </c>
      <c r="B538" s="3">
        <v>0</v>
      </c>
      <c r="C538" s="3">
        <v>0.3</v>
      </c>
      <c r="D538" s="3">
        <v>243</v>
      </c>
      <c r="E538" s="3">
        <v>1.73</v>
      </c>
      <c r="F538" s="3">
        <v>5</v>
      </c>
      <c r="G538" s="169">
        <v>12</v>
      </c>
      <c r="H538" s="3">
        <v>1820</v>
      </c>
      <c r="I538" s="169">
        <v>19645</v>
      </c>
      <c r="J538" s="3">
        <v>20</v>
      </c>
      <c r="K538" s="3">
        <v>40</v>
      </c>
      <c r="L538" s="3">
        <v>500</v>
      </c>
      <c r="M538" s="3">
        <v>1000</v>
      </c>
      <c r="O538" s="168"/>
      <c r="P538" s="168"/>
      <c r="Q538" s="168"/>
      <c r="R538" s="72" t="s">
        <v>71</v>
      </c>
      <c r="S538" s="72" t="s">
        <v>71</v>
      </c>
      <c r="T538" s="168"/>
      <c r="U538" s="73">
        <v>500</v>
      </c>
      <c r="V538" s="3">
        <v>1.5</v>
      </c>
    </row>
    <row r="539" spans="1:22" x14ac:dyDescent="0.25">
      <c r="A539" s="3" t="s">
        <v>28</v>
      </c>
      <c r="B539" s="3">
        <v>0</v>
      </c>
      <c r="C539" s="3">
        <v>0.3</v>
      </c>
      <c r="D539" s="3">
        <v>254</v>
      </c>
      <c r="E539" s="3">
        <v>1.88</v>
      </c>
      <c r="F539" s="3">
        <v>3</v>
      </c>
      <c r="G539" s="170"/>
      <c r="H539" s="3">
        <v>2720</v>
      </c>
      <c r="I539" s="170"/>
      <c r="J539" s="5"/>
      <c r="K539" s="5"/>
      <c r="L539" s="5"/>
      <c r="M539" s="5"/>
      <c r="O539" s="74">
        <v>1</v>
      </c>
      <c r="P539" s="74">
        <v>106</v>
      </c>
      <c r="Q539" s="74">
        <v>110</v>
      </c>
      <c r="R539" s="74">
        <v>6</v>
      </c>
      <c r="S539" s="74">
        <v>5</v>
      </c>
      <c r="T539" s="74">
        <f>R539*$U$5/60+S539</f>
        <v>55</v>
      </c>
      <c r="U539" s="75"/>
    </row>
    <row r="540" spans="1:22" x14ac:dyDescent="0.25">
      <c r="A540" s="3" t="s">
        <v>29</v>
      </c>
      <c r="B540" s="3">
        <v>0</v>
      </c>
      <c r="C540" s="3">
        <v>0.3</v>
      </c>
      <c r="D540" s="3">
        <v>143</v>
      </c>
      <c r="E540" s="3">
        <v>2.4300000000000002</v>
      </c>
      <c r="F540" s="3">
        <v>8</v>
      </c>
      <c r="G540" s="170"/>
      <c r="H540" s="3">
        <v>3700</v>
      </c>
      <c r="I540" s="170"/>
      <c r="J540" s="5"/>
      <c r="K540" s="140" t="s">
        <v>73</v>
      </c>
      <c r="L540" s="141">
        <v>12</v>
      </c>
      <c r="M540" s="140" t="s">
        <v>74</v>
      </c>
      <c r="N540" s="141">
        <v>19645</v>
      </c>
      <c r="O540" s="74">
        <v>2</v>
      </c>
      <c r="P540" s="74">
        <v>76</v>
      </c>
      <c r="Q540" s="74">
        <v>40</v>
      </c>
      <c r="R540" s="74">
        <v>9</v>
      </c>
      <c r="S540" s="74">
        <v>2</v>
      </c>
      <c r="T540" s="74">
        <f t="shared" ref="T540:T542" si="56">R540*$U$5/60+S540</f>
        <v>77</v>
      </c>
      <c r="U540" s="75"/>
    </row>
    <row r="541" spans="1:22" x14ac:dyDescent="0.25">
      <c r="A541" s="3" t="s">
        <v>30</v>
      </c>
      <c r="B541" s="3">
        <v>0</v>
      </c>
      <c r="C541" s="3">
        <v>0.3</v>
      </c>
      <c r="D541" s="3">
        <v>449</v>
      </c>
      <c r="E541" s="3">
        <v>2.5299999999999998</v>
      </c>
      <c r="F541" s="3">
        <v>4</v>
      </c>
      <c r="G541" s="171"/>
      <c r="H541" s="3">
        <v>4320</v>
      </c>
      <c r="I541" s="171"/>
      <c r="J541" s="5"/>
      <c r="K541" s="140"/>
      <c r="L541" s="141"/>
      <c r="M541" s="140"/>
      <c r="N541" s="141"/>
      <c r="O541" s="74">
        <v>3</v>
      </c>
      <c r="P541" s="74">
        <v>95</v>
      </c>
      <c r="Q541" s="74">
        <v>67</v>
      </c>
      <c r="R541" s="74">
        <v>5</v>
      </c>
      <c r="S541" s="74">
        <v>4</v>
      </c>
      <c r="T541" s="74">
        <f t="shared" si="56"/>
        <v>45.666666666666664</v>
      </c>
      <c r="U541" s="75"/>
    </row>
    <row r="542" spans="1:22" ht="15.75" thickBo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O542" s="74">
        <v>4</v>
      </c>
      <c r="P542" s="74">
        <v>140</v>
      </c>
      <c r="Q542" s="94">
        <v>85</v>
      </c>
      <c r="R542" s="94">
        <v>8</v>
      </c>
      <c r="S542" s="94">
        <v>3</v>
      </c>
      <c r="T542" s="74">
        <f t="shared" si="56"/>
        <v>69.666666666666671</v>
      </c>
    </row>
    <row r="543" spans="1:22" ht="15" customHeight="1" x14ac:dyDescent="0.25">
      <c r="A543" s="142" t="s">
        <v>101</v>
      </c>
      <c r="B543" s="144" t="s">
        <v>107</v>
      </c>
      <c r="C543" s="144"/>
      <c r="D543" s="144"/>
      <c r="E543" s="144"/>
      <c r="F543" s="20" t="s">
        <v>27</v>
      </c>
      <c r="G543" s="20" t="s">
        <v>28</v>
      </c>
      <c r="H543" s="20" t="s">
        <v>29</v>
      </c>
      <c r="I543" s="20" t="s">
        <v>30</v>
      </c>
    </row>
    <row r="544" spans="1:22" ht="15.75" customHeight="1" thickBot="1" x14ac:dyDescent="0.3">
      <c r="A544" s="143"/>
      <c r="B544" s="145"/>
      <c r="C544" s="145"/>
      <c r="D544" s="145"/>
      <c r="E544" s="145"/>
      <c r="F544" s="20">
        <v>168</v>
      </c>
      <c r="G544" s="26">
        <v>84</v>
      </c>
      <c r="H544" s="26">
        <v>84</v>
      </c>
      <c r="I544" s="26">
        <v>252</v>
      </c>
    </row>
    <row r="545" spans="1:34" ht="15.75" customHeight="1" thickBot="1" x14ac:dyDescent="0.3">
      <c r="A545" s="143"/>
      <c r="B545" s="145"/>
      <c r="C545" s="145"/>
      <c r="D545" s="145"/>
      <c r="E545" s="145"/>
      <c r="F545" s="7"/>
      <c r="G545" s="146" t="s">
        <v>27</v>
      </c>
      <c r="H545" s="147"/>
      <c r="I545" s="147"/>
      <c r="J545" s="147"/>
      <c r="K545" s="148"/>
      <c r="L545" s="149" t="s">
        <v>28</v>
      </c>
      <c r="M545" s="150"/>
      <c r="N545" s="150"/>
      <c r="O545" s="150"/>
      <c r="P545" s="151"/>
      <c r="Q545" s="152" t="s">
        <v>29</v>
      </c>
      <c r="R545" s="153"/>
      <c r="S545" s="153"/>
      <c r="T545" s="153"/>
      <c r="U545" s="154"/>
      <c r="V545" s="155" t="s">
        <v>30</v>
      </c>
      <c r="W545" s="156"/>
      <c r="X545" s="156"/>
      <c r="Y545" s="156"/>
      <c r="Z545" s="157"/>
      <c r="AA545" s="158" t="s">
        <v>42</v>
      </c>
      <c r="AB545" s="159"/>
      <c r="AC545" s="160" t="s">
        <v>44</v>
      </c>
      <c r="AD545" s="162" t="s">
        <v>47</v>
      </c>
      <c r="AE545" s="163"/>
      <c r="AF545" s="163"/>
      <c r="AG545" s="164"/>
      <c r="AH545" s="138" t="s">
        <v>62</v>
      </c>
    </row>
    <row r="546" spans="1:34" ht="36.75" x14ac:dyDescent="0.25">
      <c r="A546" s="21" t="s">
        <v>32</v>
      </c>
      <c r="B546" s="22" t="s">
        <v>37</v>
      </c>
      <c r="C546" s="23" t="s">
        <v>33</v>
      </c>
      <c r="D546" s="22" t="s">
        <v>38</v>
      </c>
      <c r="E546" s="22" t="s">
        <v>34</v>
      </c>
      <c r="F546" s="25" t="s">
        <v>35</v>
      </c>
      <c r="G546" s="27" t="s">
        <v>39</v>
      </c>
      <c r="H546" s="10" t="s">
        <v>40</v>
      </c>
      <c r="I546" s="10" t="s">
        <v>45</v>
      </c>
      <c r="J546" s="10" t="s">
        <v>46</v>
      </c>
      <c r="K546" s="28" t="s">
        <v>41</v>
      </c>
      <c r="L546" s="30" t="s">
        <v>39</v>
      </c>
      <c r="M546" s="13" t="s">
        <v>40</v>
      </c>
      <c r="N546" s="13" t="s">
        <v>45</v>
      </c>
      <c r="O546" s="13" t="s">
        <v>46</v>
      </c>
      <c r="P546" s="31" t="s">
        <v>41</v>
      </c>
      <c r="Q546" s="33" t="s">
        <v>39</v>
      </c>
      <c r="R546" s="12" t="s">
        <v>40</v>
      </c>
      <c r="S546" s="12" t="s">
        <v>45</v>
      </c>
      <c r="T546" s="12" t="s">
        <v>46</v>
      </c>
      <c r="U546" s="34" t="s">
        <v>41</v>
      </c>
      <c r="V546" s="36" t="s">
        <v>39</v>
      </c>
      <c r="W546" s="11" t="s">
        <v>40</v>
      </c>
      <c r="X546" s="11" t="s">
        <v>45</v>
      </c>
      <c r="Y546" s="11" t="s">
        <v>46</v>
      </c>
      <c r="Z546" s="37" t="s">
        <v>41</v>
      </c>
      <c r="AA546" s="39" t="s">
        <v>41</v>
      </c>
      <c r="AB546" s="40" t="s">
        <v>43</v>
      </c>
      <c r="AC546" s="161"/>
      <c r="AD546" s="43" t="s">
        <v>27</v>
      </c>
      <c r="AE546" s="1" t="s">
        <v>28</v>
      </c>
      <c r="AF546" s="1" t="s">
        <v>29</v>
      </c>
      <c r="AG546" s="1" t="s">
        <v>30</v>
      </c>
      <c r="AH546" s="139"/>
    </row>
    <row r="547" spans="1:34" x14ac:dyDescent="0.25">
      <c r="A547" s="24">
        <v>2</v>
      </c>
      <c r="B547" s="9">
        <v>9</v>
      </c>
      <c r="C547" s="9">
        <v>500</v>
      </c>
      <c r="D547" s="9">
        <v>2</v>
      </c>
      <c r="E547" s="48">
        <f>B547*C547/60+D547</f>
        <v>77</v>
      </c>
      <c r="F547" s="100">
        <v>76</v>
      </c>
      <c r="G547" s="49">
        <f>B$5*(1-AD547*C$5)</f>
        <v>0</v>
      </c>
      <c r="H547" s="50">
        <f>G547+E547</f>
        <v>77</v>
      </c>
      <c r="I547" s="15">
        <f>(H547/D$5)^E$5</f>
        <v>0.13693992990275231</v>
      </c>
      <c r="J547" s="15">
        <f>(G547/D$5)^E$5</f>
        <v>0</v>
      </c>
      <c r="K547" s="29">
        <f>1-EXP(J547-I547)</f>
        <v>0.1279773929583623</v>
      </c>
      <c r="L547" s="51">
        <f>B$6*(1-AE547*C$6)</f>
        <v>0</v>
      </c>
      <c r="M547" s="52">
        <f>L547+E547</f>
        <v>77</v>
      </c>
      <c r="N547" s="17">
        <f>(M547/D$6)^E$6</f>
        <v>0.10605109964467559</v>
      </c>
      <c r="O547" s="17">
        <f>(L547/D$6)^E$6</f>
        <v>0</v>
      </c>
      <c r="P547" s="32">
        <f>1-EXP(O547-N547)</f>
        <v>0.10062131102974814</v>
      </c>
      <c r="Q547" s="53">
        <f>B$7*(1-AF547*C$7)</f>
        <v>0</v>
      </c>
      <c r="R547" s="54">
        <f>Q547+E547</f>
        <v>77</v>
      </c>
      <c r="S547" s="16">
        <f>(R547/D$7)^E$7</f>
        <v>0.2221804751105394</v>
      </c>
      <c r="T547" s="16">
        <f>(Q547/D$7)^E$7</f>
        <v>0</v>
      </c>
      <c r="U547" s="35">
        <f>1-EXP(T547-S547)</f>
        <v>0.19922916791162293</v>
      </c>
      <c r="V547" s="55">
        <f>B$8*(1-AG547*C$8)</f>
        <v>0</v>
      </c>
      <c r="W547" s="56">
        <f>V547+E547</f>
        <v>77</v>
      </c>
      <c r="X547" s="18">
        <f>(W547/D$8)^E$8</f>
        <v>1.1551497592884551E-2</v>
      </c>
      <c r="Y547" s="18">
        <f>(V547/D$8)^E$8</f>
        <v>0</v>
      </c>
      <c r="Z547" s="38">
        <f>1-EXP(Y547-X547)</f>
        <v>1.1485035204098715E-2</v>
      </c>
      <c r="AA547" s="41">
        <f>K547*P547*U547*Z547</f>
        <v>2.9465138194053318E-5</v>
      </c>
      <c r="AB547" s="42">
        <f>1-AA547</f>
        <v>0.99997053486180598</v>
      </c>
      <c r="AC547" s="47">
        <f>(AD547*F$5+AE547*F$6+AF547*F$7+AG547*F$8)+E547</f>
        <v>77</v>
      </c>
      <c r="AD547" s="43">
        <v>0</v>
      </c>
      <c r="AE547" s="1">
        <v>0</v>
      </c>
      <c r="AF547" s="1">
        <v>0</v>
      </c>
      <c r="AG547" s="1">
        <v>0</v>
      </c>
      <c r="AH547" s="74">
        <v>40</v>
      </c>
    </row>
    <row r="548" spans="1:34" x14ac:dyDescent="0.25">
      <c r="A548" s="76">
        <v>3</v>
      </c>
      <c r="B548" s="58">
        <v>5</v>
      </c>
      <c r="C548" s="9">
        <v>500</v>
      </c>
      <c r="D548" s="58">
        <v>4</v>
      </c>
      <c r="E548" s="48">
        <f t="shared" ref="E548:E550" si="57">B548*C548/60+D548</f>
        <v>45.666666666666664</v>
      </c>
      <c r="F548" s="100">
        <v>95</v>
      </c>
      <c r="G548" s="49">
        <f>H547*(1-AD548*C$5)</f>
        <v>77</v>
      </c>
      <c r="H548" s="50">
        <f>G548+E548</f>
        <v>122.66666666666666</v>
      </c>
      <c r="I548" s="15">
        <f>(H548/D$5)^E$5</f>
        <v>0.30647715135734394</v>
      </c>
      <c r="J548" s="15">
        <f>(G548/D$5)^E$5</f>
        <v>0.13693992990275231</v>
      </c>
      <c r="K548" s="29">
        <f>1-EXP(J548-I548)</f>
        <v>0.15594466307173371</v>
      </c>
      <c r="L548" s="51">
        <f>M547*(1-AE548*C$6)</f>
        <v>77</v>
      </c>
      <c r="M548" s="52">
        <f>L548+E548</f>
        <v>122.66666666666666</v>
      </c>
      <c r="N548" s="17">
        <f>(M548/D$6)^E$6</f>
        <v>0.25451802994245737</v>
      </c>
      <c r="O548" s="17">
        <f>(L548/D$6)^E$6</f>
        <v>0.10605109964467559</v>
      </c>
      <c r="P548" s="32">
        <f>1-EXP(O548-N548)</f>
        <v>0.13797148627460298</v>
      </c>
      <c r="Q548" s="53">
        <f>R547*(1-AF548*C$7)</f>
        <v>77</v>
      </c>
      <c r="R548" s="54">
        <f>Q548+E548</f>
        <v>122.66666666666666</v>
      </c>
      <c r="S548" s="16">
        <f>(R548/D$7)^E$7</f>
        <v>0.68887270848465465</v>
      </c>
      <c r="T548" s="16">
        <f>(Q548/D$7)^E$7</f>
        <v>0.2221804751105394</v>
      </c>
      <c r="U548" s="35">
        <f>1-EXP(T548-S548)</f>
        <v>0.3729269471251826</v>
      </c>
      <c r="V548" s="55">
        <f>W547*(1-AG548*C$8)</f>
        <v>77</v>
      </c>
      <c r="W548" s="56">
        <f>V548+E548</f>
        <v>122.66666666666666</v>
      </c>
      <c r="X548" s="18">
        <f>(W548/D$8)^E$8</f>
        <v>3.7522776286050503E-2</v>
      </c>
      <c r="Y548" s="18">
        <f>(V548/D$8)^E$8</f>
        <v>1.1551497592884551E-2</v>
      </c>
      <c r="Z548" s="38">
        <f>1-EXP(Y548-X548)</f>
        <v>2.563692581230792E-2</v>
      </c>
      <c r="AA548" s="41">
        <f>K548*P548*U548*Z548</f>
        <v>2.0570723735404168E-4</v>
      </c>
      <c r="AB548" s="42">
        <f>1-AA548</f>
        <v>0.99979429276264598</v>
      </c>
      <c r="AC548" s="47">
        <f>AF548*F$7+E548+AC547</f>
        <v>122.66666666666666</v>
      </c>
      <c r="AD548" s="43">
        <v>0</v>
      </c>
      <c r="AE548" s="1">
        <v>0</v>
      </c>
      <c r="AF548" s="1">
        <v>0</v>
      </c>
      <c r="AG548" s="1">
        <v>0</v>
      </c>
      <c r="AH548" s="74">
        <v>67</v>
      </c>
    </row>
    <row r="549" spans="1:34" x14ac:dyDescent="0.25">
      <c r="A549" s="24">
        <v>1</v>
      </c>
      <c r="B549" s="9">
        <v>6</v>
      </c>
      <c r="C549" s="58">
        <v>500</v>
      </c>
      <c r="D549" s="58">
        <v>5</v>
      </c>
      <c r="E549" s="48">
        <f t="shared" si="57"/>
        <v>55</v>
      </c>
      <c r="F549" s="100">
        <v>106</v>
      </c>
      <c r="G549" s="68">
        <f>H548*(1-AD549*C$5)</f>
        <v>122.66666666666666</v>
      </c>
      <c r="H549" s="69">
        <f>G549+E549</f>
        <v>177.66666666666666</v>
      </c>
      <c r="I549" s="70">
        <f>(H549/D$5)^E$5</f>
        <v>0.58172730301954589</v>
      </c>
      <c r="J549" s="70">
        <f>(G549/D$5)^E$5</f>
        <v>0.30647715135734394</v>
      </c>
      <c r="K549" s="29">
        <f>1-EXP(J549-I549)</f>
        <v>0.2406178612407629</v>
      </c>
      <c r="L549" s="51">
        <f>M548*(1-AE549*C$6)</f>
        <v>85.86666666666666</v>
      </c>
      <c r="M549" s="52">
        <f>L549+E549</f>
        <v>140.86666666666667</v>
      </c>
      <c r="N549" s="17">
        <f>(M549/D$6)^E$6</f>
        <v>0.33012020048485397</v>
      </c>
      <c r="O549" s="17">
        <f>(L549/D$6)^E$6</f>
        <v>0.13016759122196553</v>
      </c>
      <c r="P549" s="32">
        <f>1-EXP(O549-N549)</f>
        <v>0.18123044574873304</v>
      </c>
      <c r="Q549" s="53">
        <f>R548*(1-AF549*C$7)</f>
        <v>85.86666666666666</v>
      </c>
      <c r="R549" s="54">
        <f>Q549+E549</f>
        <v>140.86666666666667</v>
      </c>
      <c r="S549" s="16">
        <f>(R549/D$7)^E$7</f>
        <v>0.9641341084452858</v>
      </c>
      <c r="T549" s="16">
        <f>(Q549/D$7)^E$7</f>
        <v>0.28955243173642403</v>
      </c>
      <c r="U549" s="35">
        <f>1-EXP(T549-S549)</f>
        <v>0.49063054284691032</v>
      </c>
      <c r="V549" s="55">
        <f>W548*(1-AG549*C$8)</f>
        <v>122.66666666666666</v>
      </c>
      <c r="W549" s="56">
        <f>V549+E549</f>
        <v>177.66666666666666</v>
      </c>
      <c r="X549" s="18">
        <f>(W549/D$8)^E$8</f>
        <v>9.5789922449281015E-2</v>
      </c>
      <c r="Y549" s="18">
        <f>(V549/D$8)^E$8</f>
        <v>3.7522776286050503E-2</v>
      </c>
      <c r="Z549" s="38">
        <f>1-EXP(Y549-X549)</f>
        <v>5.6602111356323093E-2</v>
      </c>
      <c r="AA549" s="41">
        <f>K549*P549*U549*Z549</f>
        <v>1.2110058267745351E-3</v>
      </c>
      <c r="AB549" s="42">
        <f>1-AA549</f>
        <v>0.99878899417322542</v>
      </c>
      <c r="AC549" s="47">
        <f>(AF549*F$7)+E549+AC548</f>
        <v>185.66666666666666</v>
      </c>
      <c r="AD549" s="77">
        <v>0</v>
      </c>
      <c r="AE549" s="78">
        <v>1</v>
      </c>
      <c r="AF549" s="78">
        <v>1</v>
      </c>
      <c r="AG549" s="78">
        <v>0</v>
      </c>
      <c r="AH549" s="74">
        <v>110</v>
      </c>
    </row>
    <row r="550" spans="1:34" ht="15.75" thickBot="1" x14ac:dyDescent="0.3">
      <c r="A550" s="57">
        <v>4</v>
      </c>
      <c r="B550" s="58">
        <v>8</v>
      </c>
      <c r="C550" s="58">
        <v>500</v>
      </c>
      <c r="D550" s="9">
        <v>3</v>
      </c>
      <c r="E550" s="48">
        <f t="shared" si="57"/>
        <v>69.666666666666671</v>
      </c>
      <c r="F550" s="100">
        <v>140</v>
      </c>
      <c r="G550" s="68">
        <f>H549*(1-AD550*C$5)</f>
        <v>124.36666666666665</v>
      </c>
      <c r="H550" s="69">
        <f>G550+E550</f>
        <v>194.0333333333333</v>
      </c>
      <c r="I550" s="70">
        <f>(H550/D$5)^E$5</f>
        <v>0.67752796083510003</v>
      </c>
      <c r="J550" s="70">
        <f>(G550/D$5)^E$5</f>
        <v>0.31386223054487455</v>
      </c>
      <c r="K550" s="29">
        <f>1-EXP(J550-I550)</f>
        <v>0.30487648535250744</v>
      </c>
      <c r="L550" s="51">
        <f>M549*(1-AE550*C$6)</f>
        <v>98.606666666666669</v>
      </c>
      <c r="M550" s="52">
        <f>L550+E550</f>
        <v>168.27333333333334</v>
      </c>
      <c r="N550" s="17">
        <f>(M550/D$6)^E$6</f>
        <v>0.46112787141135408</v>
      </c>
      <c r="O550" s="17">
        <f>(L550/D$6)^E$6</f>
        <v>0.16883264152461361</v>
      </c>
      <c r="P550" s="32">
        <f>1-EXP(O550-N550)</f>
        <v>0.25345189987571315</v>
      </c>
      <c r="Q550" s="53">
        <f>R549*(1-AF550*C$7)</f>
        <v>98.606666666666669</v>
      </c>
      <c r="R550" s="54">
        <f>Q550+E550</f>
        <v>168.27333333333334</v>
      </c>
      <c r="S550" s="16">
        <f>(R550/D$7)^E$7</f>
        <v>1.4850825755388559</v>
      </c>
      <c r="T550" s="16">
        <f>(Q550/D$7)^E$7</f>
        <v>0.4052524830522885</v>
      </c>
      <c r="U550" s="35">
        <f>1-EXP(T550-S550)</f>
        <v>0.66034676962163052</v>
      </c>
      <c r="V550" s="55">
        <f>W549*(1-AG550*C$8)</f>
        <v>177.66666666666666</v>
      </c>
      <c r="W550" s="56">
        <f>V550+E550</f>
        <v>247.33333333333331</v>
      </c>
      <c r="X550" s="18">
        <f>(W550/D$8)^E$8</f>
        <v>0.221218713919872</v>
      </c>
      <c r="Y550" s="18">
        <f>(V550/D$8)^E$8</f>
        <v>9.5789922449281015E-2</v>
      </c>
      <c r="Z550" s="38">
        <f>1-EXP(Y550-X550)</f>
        <v>0.11788142344277242</v>
      </c>
      <c r="AA550" s="41">
        <f>K550*P550*U550*Z550</f>
        <v>6.0150176950369378E-3</v>
      </c>
      <c r="AB550" s="42">
        <f>1-AA550</f>
        <v>0.99398498230496302</v>
      </c>
      <c r="AC550" s="47">
        <f>(AF550*F$7)+E550+AC549</f>
        <v>263.33333333333331</v>
      </c>
      <c r="AD550" s="80">
        <v>1</v>
      </c>
      <c r="AE550" s="45">
        <v>1</v>
      </c>
      <c r="AF550" s="81">
        <v>1</v>
      </c>
      <c r="AG550" s="45">
        <v>0</v>
      </c>
      <c r="AH550" s="94">
        <v>85</v>
      </c>
    </row>
    <row r="551" spans="1:34" ht="18.75" x14ac:dyDescent="0.3">
      <c r="A551" s="132" t="s">
        <v>53</v>
      </c>
      <c r="B551" s="132"/>
      <c r="C551" s="132"/>
      <c r="D551" s="132"/>
      <c r="E551" s="132"/>
      <c r="F551" s="132"/>
      <c r="G551" s="132"/>
      <c r="H551" s="132"/>
      <c r="I551" s="132"/>
      <c r="J551" s="132"/>
      <c r="AG551" s="46"/>
    </row>
    <row r="552" spans="1:34" ht="15.75" x14ac:dyDescent="0.25">
      <c r="A552" s="19" t="s">
        <v>48</v>
      </c>
      <c r="B552" s="60" t="s">
        <v>49</v>
      </c>
      <c r="C552" s="61" t="s">
        <v>50</v>
      </c>
      <c r="D552" s="19" t="s">
        <v>54</v>
      </c>
      <c r="E552" s="60" t="s">
        <v>57</v>
      </c>
      <c r="F552" s="61" t="s">
        <v>50</v>
      </c>
      <c r="G552" s="19" t="s">
        <v>58</v>
      </c>
      <c r="H552" s="60" t="s">
        <v>61</v>
      </c>
      <c r="I552" s="61" t="s">
        <v>50</v>
      </c>
      <c r="J552" s="19" t="s">
        <v>82</v>
      </c>
      <c r="K552" s="83" t="s">
        <v>84</v>
      </c>
      <c r="L552" s="61" t="s">
        <v>50</v>
      </c>
      <c r="M552" s="61" t="s">
        <v>85</v>
      </c>
      <c r="O552" s="174" t="s">
        <v>64</v>
      </c>
      <c r="P552" s="174"/>
      <c r="Q552" s="175" t="s">
        <v>109</v>
      </c>
      <c r="R552" s="175"/>
    </row>
    <row r="553" spans="1:34" ht="24.75" x14ac:dyDescent="0.25">
      <c r="A553" s="61" t="s">
        <v>51</v>
      </c>
      <c r="B553" s="1">
        <f>AA547</f>
        <v>2.9465138194053318E-5</v>
      </c>
      <c r="C553" s="59">
        <f>MAX(AC547+1*L540-F547,0)</f>
        <v>13</v>
      </c>
      <c r="D553" s="62" t="s">
        <v>55</v>
      </c>
      <c r="E553" s="1">
        <f>AA547*AA548</f>
        <v>6.0611921761537649E-9</v>
      </c>
      <c r="F553" s="1">
        <f>MAX(AC548+2*L540-F548,0)</f>
        <v>51.666666666666657</v>
      </c>
      <c r="G553" s="62" t="s">
        <v>59</v>
      </c>
      <c r="H553" s="1">
        <f>AA547*AA548*AA549</f>
        <v>7.3401390425224344E-12</v>
      </c>
      <c r="I553" s="1">
        <f>AC549+3*L540-F549</f>
        <v>115.66666666666666</v>
      </c>
      <c r="J553" s="62" t="s">
        <v>83</v>
      </c>
      <c r="K553" s="1">
        <f>AA547*AA548*AA549*AA550</f>
        <v>4.415106622480393E-14</v>
      </c>
      <c r="L553" s="1">
        <f>AC550+4*L540-F550</f>
        <v>171.33333333333331</v>
      </c>
      <c r="M553" s="1">
        <f>B553*C553*AH547+E553*F553*AH548+H553*I553*AH549+K553*L553*AH550</f>
        <v>1.5342947721846622E-2</v>
      </c>
      <c r="O553" s="1" t="s">
        <v>27</v>
      </c>
      <c r="P553" s="1">
        <f>H538</f>
        <v>1820</v>
      </c>
      <c r="Q553" s="1">
        <f>(K547*(1-P547)*(1-U547)*(1-Z547))+(P547*(1-K547)*(1-U547)*(1-Z547))+(U547*(1-K547)*(1-P547)*(1-Z547))+(Z547*(1-K547)*(1-P547)*(1-U547))</f>
        <v>0.32223571239848364</v>
      </c>
      <c r="R553" s="1">
        <f>Q553*(L$7*(J$5*K$5+L$5)+I$5)</f>
        <v>11357.197683484555</v>
      </c>
    </row>
    <row r="554" spans="1:34" ht="24.75" x14ac:dyDescent="0.25">
      <c r="A554" s="62" t="s">
        <v>52</v>
      </c>
      <c r="B554" s="1">
        <f>AB547</f>
        <v>0.99997053486180598</v>
      </c>
      <c r="C554" s="59">
        <f>MAX(AC547-F547,0)</f>
        <v>1</v>
      </c>
      <c r="D554" s="62" t="s">
        <v>56</v>
      </c>
      <c r="E554" s="1">
        <f>AA547*AB548+AA548*AB547</f>
        <v>2.351602531637427E-4</v>
      </c>
      <c r="F554" s="1">
        <f>MAX(AC548+1*L540-F548,0)</f>
        <v>39.666666666666657</v>
      </c>
      <c r="G554" s="62" t="s">
        <v>60</v>
      </c>
      <c r="H554" s="1">
        <f>AA547*AA548*AB549+AA548*AA549*AB547+AA547*AA549*AB548</f>
        <v>2.9083428884417845E-7</v>
      </c>
      <c r="I554" s="1">
        <f>AC549+2*L540-F549</f>
        <v>103.66666666666666</v>
      </c>
      <c r="J554" s="62" t="s">
        <v>59</v>
      </c>
      <c r="K554">
        <f>AB547*AA548*AA549*AA550+AB548*AA547*AA549*AA550*+AB549*AA547*AA548*AA550+AB550*AA547*AA548*AA549</f>
        <v>1.5056689131939631E-9</v>
      </c>
      <c r="L554" s="1">
        <f>AC550+3*L540-F550</f>
        <v>159.33333333333331</v>
      </c>
      <c r="M554" s="1">
        <f>B554*C554*AH547+E554*F554*AH548+H554*I554*AH549+K554*L554*AH550</f>
        <v>40.627135832746845</v>
      </c>
      <c r="O554" s="1" t="s">
        <v>28</v>
      </c>
      <c r="P554" s="1">
        <f>2*H539</f>
        <v>5440</v>
      </c>
      <c r="Q554" s="1">
        <f t="shared" ref="Q554:Q556" si="58">(K548*(1-P548)*(1-U548)*(1-Z548))+(P548*(1-K548)*(1-U548)*(1-Z548))+(U548*(1-K548)*(1-P548)*(1-Z548))+(Z548*(1-K548)*(1-P548)*(1-U548))</f>
        <v>0.4293717752593712</v>
      </c>
      <c r="R554" s="1">
        <f t="shared" ref="R554:R556" si="59">Q554*(L$7*(J$5*K$5+L$5)+I$5)</f>
        <v>15133.208219016538</v>
      </c>
    </row>
    <row r="555" spans="1:34" ht="24.75" x14ac:dyDescent="0.25">
      <c r="A555" s="1"/>
      <c r="B555" s="1"/>
      <c r="C555" s="1"/>
      <c r="D555" s="62" t="s">
        <v>52</v>
      </c>
      <c r="E555" s="1">
        <f>AB547*AB548</f>
        <v>0.99976483368564417</v>
      </c>
      <c r="F555" s="59">
        <f>MAX(AC548-F548,0)</f>
        <v>27.666666666666657</v>
      </c>
      <c r="G555" s="62" t="s">
        <v>56</v>
      </c>
      <c r="H555" s="1">
        <f>AA547*AB548*AB549+AA548*AB547*AB549*+AA549*AB547*AB548</f>
        <v>2.9672147032646841E-5</v>
      </c>
      <c r="I555" s="1">
        <f>AC549+1*L540-F549</f>
        <v>91.666666666666657</v>
      </c>
      <c r="J555" s="62" t="s">
        <v>60</v>
      </c>
      <c r="K555" s="1">
        <f>AA547*AA548*AB549*AB550 + AA547*AA549*AB548*AB550 + AA547*AA550*AB548*AB549 + AA548*AA549*AB547*AB550 + AA548*AA550*AB547*AB549 + AA549*AA550*AB547*AB548</f>
        <v>8.9843735133571462E-6</v>
      </c>
      <c r="L555" s="1">
        <f>AC550+2*L540-F550</f>
        <v>147.33333333333331</v>
      </c>
      <c r="M555" s="1">
        <f>B555*C555*AH547+E555*F555*AH548+H555*I555*AH549+K555*L555*AH550</f>
        <v>1853.6424551621665</v>
      </c>
      <c r="O555" s="1" t="s">
        <v>29</v>
      </c>
      <c r="P555" s="1">
        <f>2*(F540*(J538*K538+L538)+H540)</f>
        <v>28200</v>
      </c>
      <c r="Q555" s="1">
        <f t="shared" si="58"/>
        <v>0.4665176726548928</v>
      </c>
      <c r="R555" s="1">
        <f t="shared" si="59"/>
        <v>16442.415372721698</v>
      </c>
    </row>
    <row r="556" spans="1:34" ht="24.75" x14ac:dyDescent="0.25">
      <c r="A556" s="1"/>
      <c r="B556" s="1"/>
      <c r="C556" s="1"/>
      <c r="D556" s="1"/>
      <c r="E556" s="1"/>
      <c r="F556" s="1"/>
      <c r="G556" s="62" t="s">
        <v>52</v>
      </c>
      <c r="H556" s="1">
        <f>AB547*AB548*AB549</f>
        <v>0.99855411264664651</v>
      </c>
      <c r="I556" s="63">
        <f>AC549-F549</f>
        <v>79.666666666666657</v>
      </c>
      <c r="J556" s="62" t="s">
        <v>56</v>
      </c>
      <c r="K556" s="1">
        <f>AA547*AB548*AB549*AB550+AA548*AB547*AB549*AB550+AA549*AB547*AB548*AB550+AA550*AB547*AB548*AB549</f>
        <v>7.4432218801481044E-3</v>
      </c>
      <c r="L556" s="1">
        <f>AC550+1*L540-F550</f>
        <v>135.33333333333331</v>
      </c>
      <c r="M556" s="1">
        <f>B556*C556*AH547+E556*F556*AH548+H556*I556*AH549+K556*L556*AH550</f>
        <v>8836.2844028547497</v>
      </c>
      <c r="O556" s="1" t="s">
        <v>30</v>
      </c>
      <c r="P556" s="1">
        <v>0</v>
      </c>
      <c r="Q556" s="1">
        <f t="shared" si="58"/>
        <v>0.44404430830762748</v>
      </c>
      <c r="R556" s="1">
        <f t="shared" si="59"/>
        <v>15650.341646302331</v>
      </c>
    </row>
    <row r="557" spans="1:34" ht="30" x14ac:dyDescent="0.25">
      <c r="I557" s="84"/>
      <c r="J557" s="62" t="s">
        <v>52</v>
      </c>
      <c r="K557" s="85">
        <f>AB547*AB548*AB549*AB550</f>
        <v>0.99254779198962495</v>
      </c>
      <c r="L557" s="1">
        <f>AC550+0*L540-F550</f>
        <v>123.33333333333331</v>
      </c>
      <c r="M557" s="1">
        <f>B557*C557*AH547+E557*F557*AH548+H557*I557*AH549+K557*L557*AH550</f>
        <v>10405.209352691234</v>
      </c>
      <c r="O557" s="64" t="s">
        <v>65</v>
      </c>
      <c r="P557" s="65">
        <f>SUM(P553:P556)</f>
        <v>35460</v>
      </c>
      <c r="Q557" s="96" t="s">
        <v>108</v>
      </c>
      <c r="R557" s="97">
        <f>SUM(R553:R556)</f>
        <v>58583.162921525123</v>
      </c>
    </row>
    <row r="558" spans="1:34" x14ac:dyDescent="0.25">
      <c r="L558" s="176" t="s">
        <v>63</v>
      </c>
      <c r="M558" s="177">
        <f>SUM(M553:M557)</f>
        <v>21135.778689488619</v>
      </c>
    </row>
    <row r="559" spans="1:34" x14ac:dyDescent="0.25">
      <c r="L559" s="176"/>
      <c r="M559" s="177"/>
    </row>
    <row r="560" spans="1:34" x14ac:dyDescent="0.25">
      <c r="A560" s="178" t="s">
        <v>90</v>
      </c>
      <c r="B560" s="178"/>
      <c r="C560" s="178"/>
      <c r="D560" s="178"/>
      <c r="E560" s="178"/>
      <c r="F560" s="178"/>
      <c r="G560" s="178"/>
      <c r="H560" s="178"/>
      <c r="I560" s="178"/>
      <c r="J560" s="178"/>
      <c r="K560" s="178"/>
      <c r="L560" s="178"/>
      <c r="M560" s="178"/>
      <c r="N560" s="178"/>
    </row>
    <row r="561" spans="1:22" ht="15.75" x14ac:dyDescent="0.25">
      <c r="A561" s="87" t="s">
        <v>75</v>
      </c>
      <c r="B561" s="62" t="s">
        <v>49</v>
      </c>
      <c r="C561" s="90" t="s">
        <v>87</v>
      </c>
      <c r="D561" s="62" t="s">
        <v>88</v>
      </c>
      <c r="E561" s="87" t="s">
        <v>76</v>
      </c>
      <c r="F561" s="62" t="s">
        <v>57</v>
      </c>
      <c r="G561" s="90" t="s">
        <v>102</v>
      </c>
      <c r="H561" s="62" t="s">
        <v>88</v>
      </c>
      <c r="I561" s="87" t="s">
        <v>77</v>
      </c>
      <c r="J561" s="62" t="s">
        <v>61</v>
      </c>
      <c r="K561" s="90" t="s">
        <v>78</v>
      </c>
      <c r="L561" s="62" t="s">
        <v>88</v>
      </c>
      <c r="M561" s="87" t="s">
        <v>86</v>
      </c>
      <c r="N561" s="62" t="s">
        <v>84</v>
      </c>
      <c r="O561" s="90" t="s">
        <v>103</v>
      </c>
      <c r="P561" s="62" t="s">
        <v>88</v>
      </c>
    </row>
    <row r="562" spans="1:22" ht="24.75" x14ac:dyDescent="0.25">
      <c r="A562" s="62" t="s">
        <v>51</v>
      </c>
      <c r="B562" s="86">
        <v>2.9465138194053318E-5</v>
      </c>
      <c r="C562" s="86">
        <f>AC547+1*L540</f>
        <v>89</v>
      </c>
      <c r="D562" s="86">
        <f>MAX(B562*1.5*((C562-F547)*500/2),0)</f>
        <v>0.14364254869600993</v>
      </c>
      <c r="E562" s="62" t="s">
        <v>55</v>
      </c>
      <c r="F562" s="86">
        <v>6.0611921761537649E-9</v>
      </c>
      <c r="G562" s="86">
        <f>AC548+2*L540</f>
        <v>146.66666666666666</v>
      </c>
      <c r="H562" s="86">
        <f>F562*1.5*((G562-F548)*500/2+(G562-F549)*500+(G562-F550)*500)</f>
        <v>3.3260792066643774E-4</v>
      </c>
      <c r="I562" s="62" t="s">
        <v>59</v>
      </c>
      <c r="J562" s="86">
        <v>7.3401390425224344E-12</v>
      </c>
      <c r="K562" s="86">
        <f>AC549+3*L540</f>
        <v>221.66666666666666</v>
      </c>
      <c r="L562" s="86">
        <f>J562*1.5*((K562-G562)*500/2+(K562-G562)*500)</f>
        <v>6.1932423171283038E-7</v>
      </c>
      <c r="M562" s="62" t="s">
        <v>83</v>
      </c>
      <c r="N562" s="86">
        <v>4.415106622480393E-14</v>
      </c>
      <c r="O562" s="86">
        <f>AC550+4*L540</f>
        <v>311.33333333333331</v>
      </c>
      <c r="P562" s="86">
        <f>N562*1.5*((O562-K562)*500/2)</f>
        <v>1.4845796018090321E-9</v>
      </c>
    </row>
    <row r="563" spans="1:22" ht="24.75" x14ac:dyDescent="0.25">
      <c r="A563" s="62" t="s">
        <v>52</v>
      </c>
      <c r="B563" s="86">
        <v>0.99997053486180598</v>
      </c>
      <c r="C563" s="88">
        <f>AC547</f>
        <v>77</v>
      </c>
      <c r="D563" s="86">
        <f>MAX(B563*1.5*((C563-F547)*500/2),0)</f>
        <v>374.98895057317725</v>
      </c>
      <c r="E563" s="62" t="s">
        <v>56</v>
      </c>
      <c r="F563" s="86">
        <v>2.351602531637427E-4</v>
      </c>
      <c r="G563" s="86">
        <f>AC548+1*L540</f>
        <v>134.66666666666666</v>
      </c>
      <c r="H563" s="86">
        <f>F563*1.5*((G563-F548)*500/2+(G563-F549)*500)</f>
        <v>8.5539542088311382</v>
      </c>
      <c r="I563" s="62" t="s">
        <v>60</v>
      </c>
      <c r="J563" s="86">
        <v>2.9083428884417845E-7</v>
      </c>
      <c r="K563" s="86">
        <f>AC549+2*L540</f>
        <v>209.66666666666666</v>
      </c>
      <c r="L563" s="86">
        <f>J563*1.5*((K563-G563)*500/2+(K563-F550)*500)</f>
        <v>2.337580596585084E-2</v>
      </c>
      <c r="M563" s="62" t="s">
        <v>59</v>
      </c>
      <c r="N563" s="86">
        <v>1.5056689131939631E-9</v>
      </c>
      <c r="O563" s="86">
        <f>AC550+3*L540</f>
        <v>299.33333333333331</v>
      </c>
      <c r="P563" s="86">
        <f>N563*1.5*((O563-K563)*500/2)</f>
        <v>5.0628117206147E-5</v>
      </c>
    </row>
    <row r="564" spans="1:22" x14ac:dyDescent="0.25">
      <c r="A564" s="86"/>
      <c r="B564" s="86"/>
      <c r="C564" s="89" t="s">
        <v>89</v>
      </c>
      <c r="D564" s="89">
        <f>SUM(D562:D563)</f>
        <v>375.13259312187324</v>
      </c>
      <c r="E564" s="62" t="s">
        <v>52</v>
      </c>
      <c r="F564" s="86">
        <v>0.99976483368564417</v>
      </c>
      <c r="G564" s="86">
        <f>AC548+0*L540</f>
        <v>122.66666666666666</v>
      </c>
      <c r="H564" s="86">
        <f>F564*1.5*((G564-F548)*500/2+(G564-F549)*500)</f>
        <v>22869.620570559102</v>
      </c>
      <c r="I564" s="62" t="s">
        <v>56</v>
      </c>
      <c r="J564" s="86">
        <v>2.9672147032646841E-5</v>
      </c>
      <c r="K564" s="86">
        <f>AC549+1*L540</f>
        <v>197.66666666666666</v>
      </c>
      <c r="L564" s="86">
        <f>J564*1.5*((K564-G564)*500/2+(K564-F550)*500)</f>
        <v>2.117849494455168</v>
      </c>
      <c r="M564" s="62" t="s">
        <v>60</v>
      </c>
      <c r="N564" s="86">
        <v>8.9843735133571462E-6</v>
      </c>
      <c r="O564" s="86">
        <f>AC550+2*L540</f>
        <v>287.33333333333331</v>
      </c>
      <c r="P564" s="86">
        <f>N564*1.5*((O564-K564)*500/2)</f>
        <v>0.30209955938663402</v>
      </c>
    </row>
    <row r="565" spans="1:22" x14ac:dyDescent="0.25">
      <c r="A565" s="86"/>
      <c r="B565" s="86"/>
      <c r="C565" s="86"/>
      <c r="D565" s="86"/>
      <c r="E565" s="86"/>
      <c r="F565" s="86"/>
      <c r="G565" s="89" t="s">
        <v>79</v>
      </c>
      <c r="H565" s="89">
        <f>SUM(H562:H564)</f>
        <v>22878.174857375852</v>
      </c>
      <c r="I565" s="62" t="s">
        <v>52</v>
      </c>
      <c r="J565" s="86">
        <v>0.99855411264664651</v>
      </c>
      <c r="K565" s="86">
        <f>AC549+0*L540</f>
        <v>185.66666666666666</v>
      </c>
      <c r="L565" s="86">
        <f>J565*1.5*((K565-G564)*500/2+(K565-F550)*500)</f>
        <v>57791.319269424654</v>
      </c>
      <c r="M565" s="62" t="s">
        <v>56</v>
      </c>
      <c r="N565" s="86">
        <v>7.4432218801481044E-3</v>
      </c>
      <c r="O565" s="86">
        <f>AC550+1*L540</f>
        <v>275.33333333333331</v>
      </c>
      <c r="P565" s="86">
        <f>N565*1.5*((O565-K565)*500/2)</f>
        <v>250.27833571997999</v>
      </c>
    </row>
    <row r="566" spans="1:22" x14ac:dyDescent="0.25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9" t="s">
        <v>79</v>
      </c>
      <c r="L566" s="89">
        <f>SUM(L562:L565)</f>
        <v>57793.4604953444</v>
      </c>
      <c r="M566" s="62" t="s">
        <v>52</v>
      </c>
      <c r="N566" s="86">
        <v>0.99254779198962495</v>
      </c>
      <c r="O566" s="86">
        <f>AC550+0*L540</f>
        <v>263.33333333333331</v>
      </c>
      <c r="P566" s="86">
        <f>N566*1.5*((O566-K565)*500/2)</f>
        <v>28907.954441697821</v>
      </c>
      <c r="Q566" s="179" t="s">
        <v>80</v>
      </c>
      <c r="R566" s="179"/>
      <c r="S566" s="180">
        <f>D564+H565+L566+P567</f>
        <v>110205.30287344891</v>
      </c>
      <c r="T566" s="180"/>
    </row>
    <row r="567" spans="1:22" x14ac:dyDescent="0.25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9" t="s">
        <v>79</v>
      </c>
      <c r="P567" s="89">
        <f>SUM(P562:P566)</f>
        <v>29158.53492760679</v>
      </c>
      <c r="Q567" s="179"/>
      <c r="R567" s="179"/>
      <c r="S567" s="180"/>
      <c r="T567" s="180"/>
    </row>
    <row r="568" spans="1:22" x14ac:dyDescent="0.25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</row>
    <row r="569" spans="1:22" x14ac:dyDescent="0.25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</row>
    <row r="570" spans="1:22" x14ac:dyDescent="0.25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</row>
    <row r="571" spans="1:22" ht="24.75" thickBot="1" x14ac:dyDescent="0.3">
      <c r="O571" s="131" t="s">
        <v>81</v>
      </c>
      <c r="P571" s="131"/>
      <c r="Q571" s="131">
        <f>(R557+P557+M558+S566)/AC550</f>
        <v>855.88953601694686</v>
      </c>
      <c r="R571" s="131"/>
    </row>
    <row r="572" spans="1:22" x14ac:dyDescent="0.25">
      <c r="A572" s="181" t="s">
        <v>120</v>
      </c>
      <c r="B572" s="182"/>
    </row>
    <row r="573" spans="1:22" ht="15.75" thickBot="1" x14ac:dyDescent="0.3">
      <c r="A573" s="183"/>
      <c r="B573" s="184"/>
    </row>
    <row r="574" spans="1:22" ht="21" x14ac:dyDescent="0.35">
      <c r="A574" s="185" t="s">
        <v>14</v>
      </c>
      <c r="B574" s="185"/>
      <c r="C574" s="165"/>
      <c r="D574" s="165"/>
      <c r="E574" s="165"/>
      <c r="F574" s="165"/>
      <c r="G574" s="165"/>
      <c r="H574" s="165"/>
      <c r="I574" s="165"/>
      <c r="J574" s="165"/>
      <c r="K574" s="165"/>
      <c r="L574" s="165"/>
      <c r="M574" s="165"/>
      <c r="O574" s="166" t="s">
        <v>72</v>
      </c>
      <c r="P574" s="166"/>
      <c r="Q574" s="166"/>
      <c r="R574" s="166"/>
      <c r="S574" s="166"/>
      <c r="T574" s="166"/>
      <c r="U574" s="166"/>
      <c r="V574" s="166"/>
    </row>
    <row r="575" spans="1:22" ht="36" x14ac:dyDescent="0.25">
      <c r="A575" s="4" t="s">
        <v>15</v>
      </c>
      <c r="B575" s="4" t="s">
        <v>16</v>
      </c>
      <c r="C575" s="4" t="s">
        <v>31</v>
      </c>
      <c r="D575" s="6" t="s">
        <v>17</v>
      </c>
      <c r="E575" s="6" t="s">
        <v>18</v>
      </c>
      <c r="F575" s="6" t="s">
        <v>19</v>
      </c>
      <c r="G575" s="6" t="s">
        <v>20</v>
      </c>
      <c r="H575" s="6" t="s">
        <v>21</v>
      </c>
      <c r="I575" s="6" t="s">
        <v>22</v>
      </c>
      <c r="J575" s="6" t="s">
        <v>23</v>
      </c>
      <c r="K575" s="6" t="s">
        <v>24</v>
      </c>
      <c r="L575" s="6" t="s">
        <v>25</v>
      </c>
      <c r="M575" s="6" t="s">
        <v>26</v>
      </c>
      <c r="N575" s="8"/>
      <c r="O575" s="167" t="s">
        <v>32</v>
      </c>
      <c r="P575" s="167" t="s">
        <v>35</v>
      </c>
      <c r="Q575" s="167" t="s">
        <v>66</v>
      </c>
      <c r="R575" s="99" t="s">
        <v>67</v>
      </c>
      <c r="S575" s="99" t="s">
        <v>68</v>
      </c>
      <c r="T575" s="167" t="s">
        <v>69</v>
      </c>
      <c r="U575" s="71" t="s">
        <v>33</v>
      </c>
      <c r="V575" s="99" t="s">
        <v>70</v>
      </c>
    </row>
    <row r="576" spans="1:22" x14ac:dyDescent="0.25">
      <c r="A576" s="3" t="s">
        <v>27</v>
      </c>
      <c r="B576" s="3">
        <v>0</v>
      </c>
      <c r="C576" s="3">
        <v>0.3</v>
      </c>
      <c r="D576" s="3">
        <v>243</v>
      </c>
      <c r="E576" s="3">
        <v>1.73</v>
      </c>
      <c r="F576" s="3">
        <v>5</v>
      </c>
      <c r="G576" s="169">
        <v>12</v>
      </c>
      <c r="H576" s="3">
        <v>1820</v>
      </c>
      <c r="I576" s="169">
        <v>19645</v>
      </c>
      <c r="J576" s="3">
        <v>20</v>
      </c>
      <c r="K576" s="3">
        <v>40</v>
      </c>
      <c r="L576" s="3">
        <v>500</v>
      </c>
      <c r="M576" s="3">
        <v>1000</v>
      </c>
      <c r="O576" s="168"/>
      <c r="P576" s="168"/>
      <c r="Q576" s="168"/>
      <c r="R576" s="72" t="s">
        <v>71</v>
      </c>
      <c r="S576" s="72" t="s">
        <v>71</v>
      </c>
      <c r="T576" s="168"/>
      <c r="U576" s="73">
        <v>500</v>
      </c>
      <c r="V576" s="3">
        <v>1.5</v>
      </c>
    </row>
    <row r="577" spans="1:34" x14ac:dyDescent="0.25">
      <c r="A577" s="3" t="s">
        <v>28</v>
      </c>
      <c r="B577" s="3">
        <v>0</v>
      </c>
      <c r="C577" s="3">
        <v>0.3</v>
      </c>
      <c r="D577" s="3">
        <v>254</v>
      </c>
      <c r="E577" s="3">
        <v>1.88</v>
      </c>
      <c r="F577" s="3">
        <v>3</v>
      </c>
      <c r="G577" s="170"/>
      <c r="H577" s="3">
        <v>2720</v>
      </c>
      <c r="I577" s="170"/>
      <c r="J577" s="5"/>
      <c r="K577" s="5"/>
      <c r="L577" s="5"/>
      <c r="M577" s="5"/>
      <c r="O577" s="74">
        <v>1</v>
      </c>
      <c r="P577" s="74">
        <v>106</v>
      </c>
      <c r="Q577" s="74">
        <v>110</v>
      </c>
      <c r="R577" s="74">
        <v>6</v>
      </c>
      <c r="S577" s="74">
        <v>5</v>
      </c>
      <c r="T577" s="74">
        <f>R577*$U$5/60+S577</f>
        <v>55</v>
      </c>
      <c r="U577" s="75"/>
    </row>
    <row r="578" spans="1:34" x14ac:dyDescent="0.25">
      <c r="A578" s="3" t="s">
        <v>29</v>
      </c>
      <c r="B578" s="3">
        <v>0</v>
      </c>
      <c r="C578" s="3">
        <v>0.3</v>
      </c>
      <c r="D578" s="3">
        <v>143</v>
      </c>
      <c r="E578" s="3">
        <v>2.4300000000000002</v>
      </c>
      <c r="F578" s="3">
        <v>8</v>
      </c>
      <c r="G578" s="170"/>
      <c r="H578" s="3">
        <v>3700</v>
      </c>
      <c r="I578" s="170"/>
      <c r="J578" s="5"/>
      <c r="K578" s="140" t="s">
        <v>73</v>
      </c>
      <c r="L578" s="141">
        <v>12</v>
      </c>
      <c r="M578" s="140" t="s">
        <v>74</v>
      </c>
      <c r="N578" s="141">
        <v>19645</v>
      </c>
      <c r="O578" s="74">
        <v>2</v>
      </c>
      <c r="P578" s="74">
        <v>76</v>
      </c>
      <c r="Q578" s="74">
        <v>40</v>
      </c>
      <c r="R578" s="74">
        <v>9</v>
      </c>
      <c r="S578" s="74">
        <v>2</v>
      </c>
      <c r="T578" s="74">
        <f t="shared" ref="T578:T580" si="60">R578*$U$5/60+S578</f>
        <v>77</v>
      </c>
      <c r="U578" s="75"/>
    </row>
    <row r="579" spans="1:34" x14ac:dyDescent="0.25">
      <c r="A579" s="3" t="s">
        <v>30</v>
      </c>
      <c r="B579" s="3">
        <v>0</v>
      </c>
      <c r="C579" s="3">
        <v>0.3</v>
      </c>
      <c r="D579" s="3">
        <v>449</v>
      </c>
      <c r="E579" s="3">
        <v>2.5299999999999998</v>
      </c>
      <c r="F579" s="3">
        <v>4</v>
      </c>
      <c r="G579" s="171"/>
      <c r="H579" s="3">
        <v>4320</v>
      </c>
      <c r="I579" s="171"/>
      <c r="J579" s="5"/>
      <c r="K579" s="140"/>
      <c r="L579" s="141"/>
      <c r="M579" s="140"/>
      <c r="N579" s="141"/>
      <c r="O579" s="74">
        <v>3</v>
      </c>
      <c r="P579" s="74">
        <v>95</v>
      </c>
      <c r="Q579" s="74">
        <v>67</v>
      </c>
      <c r="R579" s="74">
        <v>5</v>
      </c>
      <c r="S579" s="74">
        <v>4</v>
      </c>
      <c r="T579" s="74">
        <f t="shared" si="60"/>
        <v>45.666666666666664</v>
      </c>
      <c r="U579" s="75"/>
    </row>
    <row r="580" spans="1:34" ht="15.75" thickBo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O580" s="74">
        <v>4</v>
      </c>
      <c r="P580" s="74">
        <v>140</v>
      </c>
      <c r="Q580" s="94">
        <v>85</v>
      </c>
      <c r="R580" s="94">
        <v>8</v>
      </c>
      <c r="S580" s="94">
        <v>3</v>
      </c>
      <c r="T580" s="74">
        <f t="shared" si="60"/>
        <v>69.666666666666671</v>
      </c>
    </row>
    <row r="581" spans="1:34" ht="15" customHeight="1" x14ac:dyDescent="0.25">
      <c r="A581" s="142" t="s">
        <v>101</v>
      </c>
      <c r="B581" s="144" t="s">
        <v>107</v>
      </c>
      <c r="C581" s="144"/>
      <c r="D581" s="144"/>
      <c r="E581" s="144"/>
      <c r="F581" s="20" t="s">
        <v>27</v>
      </c>
      <c r="G581" s="20" t="s">
        <v>28</v>
      </c>
      <c r="H581" s="20" t="s">
        <v>29</v>
      </c>
      <c r="I581" s="20" t="s">
        <v>30</v>
      </c>
    </row>
    <row r="582" spans="1:34" ht="15.75" customHeight="1" thickBot="1" x14ac:dyDescent="0.3">
      <c r="A582" s="143"/>
      <c r="B582" s="145"/>
      <c r="C582" s="145"/>
      <c r="D582" s="145"/>
      <c r="E582" s="145"/>
      <c r="F582" s="20">
        <v>168</v>
      </c>
      <c r="G582" s="26">
        <v>84</v>
      </c>
      <c r="H582" s="26">
        <v>84</v>
      </c>
      <c r="I582" s="26">
        <v>252</v>
      </c>
    </row>
    <row r="583" spans="1:34" ht="15.75" customHeight="1" thickBot="1" x14ac:dyDescent="0.3">
      <c r="A583" s="143"/>
      <c r="B583" s="145"/>
      <c r="C583" s="145"/>
      <c r="D583" s="145"/>
      <c r="E583" s="145"/>
      <c r="F583" s="7"/>
      <c r="G583" s="146" t="s">
        <v>27</v>
      </c>
      <c r="H583" s="147"/>
      <c r="I583" s="147"/>
      <c r="J583" s="147"/>
      <c r="K583" s="148"/>
      <c r="L583" s="149" t="s">
        <v>28</v>
      </c>
      <c r="M583" s="150"/>
      <c r="N583" s="150"/>
      <c r="O583" s="150"/>
      <c r="P583" s="151"/>
      <c r="Q583" s="152" t="s">
        <v>29</v>
      </c>
      <c r="R583" s="153"/>
      <c r="S583" s="153"/>
      <c r="T583" s="153"/>
      <c r="U583" s="154"/>
      <c r="V583" s="155" t="s">
        <v>30</v>
      </c>
      <c r="W583" s="156"/>
      <c r="X583" s="156"/>
      <c r="Y583" s="156"/>
      <c r="Z583" s="157"/>
      <c r="AA583" s="158" t="s">
        <v>42</v>
      </c>
      <c r="AB583" s="159"/>
      <c r="AC583" s="160" t="s">
        <v>44</v>
      </c>
      <c r="AD583" s="162" t="s">
        <v>47</v>
      </c>
      <c r="AE583" s="163"/>
      <c r="AF583" s="163"/>
      <c r="AG583" s="164"/>
      <c r="AH583" s="138" t="s">
        <v>62</v>
      </c>
    </row>
    <row r="584" spans="1:34" ht="36.75" x14ac:dyDescent="0.25">
      <c r="A584" s="21" t="s">
        <v>32</v>
      </c>
      <c r="B584" s="22" t="s">
        <v>37</v>
      </c>
      <c r="C584" s="23" t="s">
        <v>33</v>
      </c>
      <c r="D584" s="22" t="s">
        <v>38</v>
      </c>
      <c r="E584" s="22" t="s">
        <v>34</v>
      </c>
      <c r="F584" s="25" t="s">
        <v>35</v>
      </c>
      <c r="G584" s="27" t="s">
        <v>39</v>
      </c>
      <c r="H584" s="10" t="s">
        <v>40</v>
      </c>
      <c r="I584" s="10" t="s">
        <v>45</v>
      </c>
      <c r="J584" s="10" t="s">
        <v>46</v>
      </c>
      <c r="K584" s="28" t="s">
        <v>41</v>
      </c>
      <c r="L584" s="30" t="s">
        <v>39</v>
      </c>
      <c r="M584" s="13" t="s">
        <v>40</v>
      </c>
      <c r="N584" s="13" t="s">
        <v>45</v>
      </c>
      <c r="O584" s="13" t="s">
        <v>46</v>
      </c>
      <c r="P584" s="31" t="s">
        <v>41</v>
      </c>
      <c r="Q584" s="33" t="s">
        <v>39</v>
      </c>
      <c r="R584" s="12" t="s">
        <v>40</v>
      </c>
      <c r="S584" s="12" t="s">
        <v>45</v>
      </c>
      <c r="T584" s="12" t="s">
        <v>46</v>
      </c>
      <c r="U584" s="34" t="s">
        <v>41</v>
      </c>
      <c r="V584" s="36" t="s">
        <v>39</v>
      </c>
      <c r="W584" s="11" t="s">
        <v>40</v>
      </c>
      <c r="X584" s="11" t="s">
        <v>45</v>
      </c>
      <c r="Y584" s="11" t="s">
        <v>46</v>
      </c>
      <c r="Z584" s="37" t="s">
        <v>41</v>
      </c>
      <c r="AA584" s="39" t="s">
        <v>41</v>
      </c>
      <c r="AB584" s="40" t="s">
        <v>43</v>
      </c>
      <c r="AC584" s="161"/>
      <c r="AD584" s="43" t="s">
        <v>27</v>
      </c>
      <c r="AE584" s="1" t="s">
        <v>28</v>
      </c>
      <c r="AF584" s="1" t="s">
        <v>29</v>
      </c>
      <c r="AG584" s="1" t="s">
        <v>30</v>
      </c>
      <c r="AH584" s="139"/>
    </row>
    <row r="585" spans="1:34" x14ac:dyDescent="0.25">
      <c r="A585" s="24">
        <v>2</v>
      </c>
      <c r="B585" s="9">
        <v>9</v>
      </c>
      <c r="C585" s="9">
        <v>500</v>
      </c>
      <c r="D585" s="9">
        <v>2</v>
      </c>
      <c r="E585" s="48">
        <f>B585*C585/60+D585</f>
        <v>77</v>
      </c>
      <c r="F585" s="100">
        <v>76</v>
      </c>
      <c r="G585" s="49">
        <f>B$5*(1-AD585*C$5)</f>
        <v>0</v>
      </c>
      <c r="H585" s="50">
        <f>G585+E585</f>
        <v>77</v>
      </c>
      <c r="I585" s="15">
        <f>(H585/D$5)^E$5</f>
        <v>0.13693992990275231</v>
      </c>
      <c r="J585" s="15">
        <f>(G585/D$5)^E$5</f>
        <v>0</v>
      </c>
      <c r="K585" s="29">
        <f>1-EXP(J585-I585)</f>
        <v>0.1279773929583623</v>
      </c>
      <c r="L585" s="51">
        <f>B$6*(1-AE585*C$6)</f>
        <v>0</v>
      </c>
      <c r="M585" s="52">
        <f>L585+E585</f>
        <v>77</v>
      </c>
      <c r="N585" s="17">
        <f>(M585/D$6)^E$6</f>
        <v>0.10605109964467559</v>
      </c>
      <c r="O585" s="17">
        <f>(L585/D$6)^E$6</f>
        <v>0</v>
      </c>
      <c r="P585" s="32">
        <f>1-EXP(O585-N585)</f>
        <v>0.10062131102974814</v>
      </c>
      <c r="Q585" s="53">
        <f>B$7*(1-AF585*C$7)</f>
        <v>0</v>
      </c>
      <c r="R585" s="54">
        <f>Q585+E585</f>
        <v>77</v>
      </c>
      <c r="S585" s="16">
        <f>(R585/D$7)^E$7</f>
        <v>0.2221804751105394</v>
      </c>
      <c r="T585" s="16">
        <f>(Q585/D$7)^E$7</f>
        <v>0</v>
      </c>
      <c r="U585" s="35">
        <f>1-EXP(T585-S585)</f>
        <v>0.19922916791162293</v>
      </c>
      <c r="V585" s="55">
        <f>B$8*(1-AG585*C$8)</f>
        <v>0</v>
      </c>
      <c r="W585" s="56">
        <f>V585+E585</f>
        <v>77</v>
      </c>
      <c r="X585" s="18">
        <f>(W585/D$8)^E$8</f>
        <v>1.1551497592884551E-2</v>
      </c>
      <c r="Y585" s="18">
        <f>(V585/D$8)^E$8</f>
        <v>0</v>
      </c>
      <c r="Z585" s="38">
        <f>1-EXP(Y585-X585)</f>
        <v>1.1485035204098715E-2</v>
      </c>
      <c r="AA585" s="41">
        <f>K585*P585*U585*Z585</f>
        <v>2.9465138194053318E-5</v>
      </c>
      <c r="AB585" s="42">
        <f>1-AA585</f>
        <v>0.99997053486180598</v>
      </c>
      <c r="AC585" s="47">
        <f>(AD585*F$5+AE585*F$6+AF585*F$7+AG585*F$8)+E585</f>
        <v>77</v>
      </c>
      <c r="AD585" s="43">
        <v>0</v>
      </c>
      <c r="AE585" s="1">
        <v>0</v>
      </c>
      <c r="AF585" s="1">
        <v>0</v>
      </c>
      <c r="AG585" s="1">
        <v>0</v>
      </c>
      <c r="AH585" s="74">
        <v>40</v>
      </c>
    </row>
    <row r="586" spans="1:34" x14ac:dyDescent="0.25">
      <c r="A586" s="76">
        <v>3</v>
      </c>
      <c r="B586" s="58">
        <v>5</v>
      </c>
      <c r="C586" s="9">
        <v>500</v>
      </c>
      <c r="D586" s="58">
        <v>4</v>
      </c>
      <c r="E586" s="48">
        <f t="shared" ref="E586:E588" si="61">B586*C586/60+D586</f>
        <v>45.666666666666664</v>
      </c>
      <c r="F586" s="100">
        <v>95</v>
      </c>
      <c r="G586" s="49">
        <f>H585*(1-AD586*C$5)</f>
        <v>77</v>
      </c>
      <c r="H586" s="50">
        <f>G586+E586</f>
        <v>122.66666666666666</v>
      </c>
      <c r="I586" s="15">
        <f>(H586/D$5)^E$5</f>
        <v>0.30647715135734394</v>
      </c>
      <c r="J586" s="15">
        <f>(G586/D$5)^E$5</f>
        <v>0.13693992990275231</v>
      </c>
      <c r="K586" s="29">
        <f>1-EXP(J586-I586)</f>
        <v>0.15594466307173371</v>
      </c>
      <c r="L586" s="51">
        <f>M585*(1-AE586*C$6)</f>
        <v>77</v>
      </c>
      <c r="M586" s="52">
        <f>L586+E586</f>
        <v>122.66666666666666</v>
      </c>
      <c r="N586" s="17">
        <f>(M586/D$6)^E$6</f>
        <v>0.25451802994245737</v>
      </c>
      <c r="O586" s="17">
        <f>(L586/D$6)^E$6</f>
        <v>0.10605109964467559</v>
      </c>
      <c r="P586" s="32">
        <f>1-EXP(O586-N586)</f>
        <v>0.13797148627460298</v>
      </c>
      <c r="Q586" s="53">
        <f>R585*(1-AF586*C$7)</f>
        <v>77</v>
      </c>
      <c r="R586" s="54">
        <f>Q586+E586</f>
        <v>122.66666666666666</v>
      </c>
      <c r="S586" s="16">
        <f>(R586/D$7)^E$7</f>
        <v>0.68887270848465465</v>
      </c>
      <c r="T586" s="16">
        <f>(Q586/D$7)^E$7</f>
        <v>0.2221804751105394</v>
      </c>
      <c r="U586" s="35">
        <f>1-EXP(T586-S586)</f>
        <v>0.3729269471251826</v>
      </c>
      <c r="V586" s="55">
        <f>W585*(1-AG586*C$8)</f>
        <v>77</v>
      </c>
      <c r="W586" s="56">
        <f>V586+E586</f>
        <v>122.66666666666666</v>
      </c>
      <c r="X586" s="18">
        <f>(W586/D$8)^E$8</f>
        <v>3.7522776286050503E-2</v>
      </c>
      <c r="Y586" s="18">
        <f>(V586/D$8)^E$8</f>
        <v>1.1551497592884551E-2</v>
      </c>
      <c r="Z586" s="38">
        <f>1-EXP(Y586-X586)</f>
        <v>2.563692581230792E-2</v>
      </c>
      <c r="AA586" s="41">
        <f>K586*P586*U586*Z586</f>
        <v>2.0570723735404168E-4</v>
      </c>
      <c r="AB586" s="42">
        <f>1-AA586</f>
        <v>0.99979429276264598</v>
      </c>
      <c r="AC586" s="47">
        <f>AF586*F$7+E586+AC585</f>
        <v>122.66666666666666</v>
      </c>
      <c r="AD586" s="43">
        <v>0</v>
      </c>
      <c r="AE586" s="1">
        <v>0</v>
      </c>
      <c r="AF586" s="1">
        <v>0</v>
      </c>
      <c r="AG586" s="1">
        <v>0</v>
      </c>
      <c r="AH586" s="74">
        <v>67</v>
      </c>
    </row>
    <row r="587" spans="1:34" x14ac:dyDescent="0.25">
      <c r="A587" s="24">
        <v>4</v>
      </c>
      <c r="B587" s="9">
        <v>8</v>
      </c>
      <c r="C587" s="58">
        <v>500</v>
      </c>
      <c r="D587" s="58">
        <v>3</v>
      </c>
      <c r="E587" s="48">
        <f t="shared" si="61"/>
        <v>69.666666666666671</v>
      </c>
      <c r="F587" s="100">
        <v>140</v>
      </c>
      <c r="G587" s="68">
        <f>H586*(1-AD587*C$5)</f>
        <v>122.66666666666666</v>
      </c>
      <c r="H587" s="69">
        <f>G587+E587</f>
        <v>192.33333333333331</v>
      </c>
      <c r="I587" s="70">
        <f>(H587/D$5)^E$5</f>
        <v>0.6672914077381038</v>
      </c>
      <c r="J587" s="70">
        <f>(G587/D$5)^E$5</f>
        <v>0.30647715135734394</v>
      </c>
      <c r="K587" s="29">
        <f>1-EXP(J587-I587)</f>
        <v>0.30289153010754433</v>
      </c>
      <c r="L587" s="51">
        <f>M586*(1-AE587*C$6)</f>
        <v>85.86666666666666</v>
      </c>
      <c r="M587" s="52">
        <f>L587+E587</f>
        <v>155.53333333333333</v>
      </c>
      <c r="N587" s="17">
        <f>(M587/D$6)^E$6</f>
        <v>0.39768641404513894</v>
      </c>
      <c r="O587" s="17">
        <f>(L587/D$6)^E$6</f>
        <v>0.13016759122196553</v>
      </c>
      <c r="P587" s="32">
        <f>1-EXP(O587-N587)</f>
        <v>0.23472407416617413</v>
      </c>
      <c r="Q587" s="53">
        <f>R586*(1-AF587*C$7)</f>
        <v>85.86666666666666</v>
      </c>
      <c r="R587" s="54">
        <f>Q587+E587</f>
        <v>155.53333333333333</v>
      </c>
      <c r="S587" s="16">
        <f>(R587/D$7)^E$7</f>
        <v>1.2264913361397396</v>
      </c>
      <c r="T587" s="16">
        <f>(Q587/D$7)^E$7</f>
        <v>0.28955243173642403</v>
      </c>
      <c r="U587" s="35">
        <f>1-EXP(T587-S587)</f>
        <v>0.60817458347464404</v>
      </c>
      <c r="V587" s="55">
        <f>W586*(1-AG587*C$8)</f>
        <v>122.66666666666666</v>
      </c>
      <c r="W587" s="56">
        <f>V587+E587</f>
        <v>192.33333333333331</v>
      </c>
      <c r="X587" s="18">
        <f>(W587/D$8)^E$8</f>
        <v>0.11707786390726449</v>
      </c>
      <c r="Y587" s="18">
        <f>(V587/D$8)^E$8</f>
        <v>3.7522776286050503E-2</v>
      </c>
      <c r="Z587" s="38">
        <f>1-EXP(Y587-X587)</f>
        <v>7.647285634617873E-2</v>
      </c>
      <c r="AA587" s="41">
        <f>K587*P587*U587*Z587</f>
        <v>3.3065899551614026E-3</v>
      </c>
      <c r="AB587" s="42">
        <f>1-AA587</f>
        <v>0.99669341004483858</v>
      </c>
      <c r="AC587" s="47">
        <f>(AF587*F$7)+E587+AC586</f>
        <v>200.33333333333331</v>
      </c>
      <c r="AD587" s="77">
        <v>0</v>
      </c>
      <c r="AE587" s="78">
        <v>1</v>
      </c>
      <c r="AF587" s="78">
        <v>1</v>
      </c>
      <c r="AG587" s="78">
        <v>0</v>
      </c>
      <c r="AH587" s="74">
        <v>85</v>
      </c>
    </row>
    <row r="588" spans="1:34" ht="15.75" thickBot="1" x14ac:dyDescent="0.3">
      <c r="A588" s="57">
        <v>1</v>
      </c>
      <c r="B588" s="58">
        <v>6</v>
      </c>
      <c r="C588" s="58">
        <v>500</v>
      </c>
      <c r="D588" s="9">
        <v>5</v>
      </c>
      <c r="E588" s="48">
        <f t="shared" si="61"/>
        <v>55</v>
      </c>
      <c r="F588" s="100">
        <v>106</v>
      </c>
      <c r="G588" s="68">
        <f>H587*(1-AD588*C$5)</f>
        <v>134.6333333333333</v>
      </c>
      <c r="H588" s="69">
        <f>G588+E588</f>
        <v>189.6333333333333</v>
      </c>
      <c r="I588" s="70">
        <f>(H588/D$5)^E$5</f>
        <v>0.65116873667608699</v>
      </c>
      <c r="J588" s="70">
        <f>(G588/D$5)^E$5</f>
        <v>0.36002705832955123</v>
      </c>
      <c r="K588" s="29">
        <f>1-EXP(J588-I588)</f>
        <v>0.25259022126518538</v>
      </c>
      <c r="L588" s="51">
        <f>M587*(1-AE588*C$6)</f>
        <v>108.87333333333332</v>
      </c>
      <c r="M588" s="52">
        <f>L588+E588</f>
        <v>163.87333333333333</v>
      </c>
      <c r="N588" s="17">
        <f>(M588/D$6)^E$6</f>
        <v>0.43872076836143109</v>
      </c>
      <c r="O588" s="17">
        <f>(L588/D$6)^E$6</f>
        <v>0.20338788018145684</v>
      </c>
      <c r="P588" s="32">
        <f>1-EXP(O588-N588)</f>
        <v>0.20969227826402548</v>
      </c>
      <c r="Q588" s="53">
        <f>R587*(1-AF588*C$7)</f>
        <v>108.87333333333332</v>
      </c>
      <c r="R588" s="54">
        <f>Q588+E588</f>
        <v>163.87333333333333</v>
      </c>
      <c r="S588" s="16">
        <f>(R588/D$7)^E$7</f>
        <v>1.3924787239161251</v>
      </c>
      <c r="T588" s="16">
        <f>(Q588/D$7)^E$7</f>
        <v>0.5155285504982785</v>
      </c>
      <c r="U588" s="35">
        <f>1-EXP(T588-S588)</f>
        <v>0.58395014136633883</v>
      </c>
      <c r="V588" s="55">
        <f>W587*(1-AG588*C$8)</f>
        <v>192.33333333333331</v>
      </c>
      <c r="W588" s="56">
        <f>V588+E588</f>
        <v>247.33333333333331</v>
      </c>
      <c r="X588" s="18">
        <f>(W588/D$8)^E$8</f>
        <v>0.221218713919872</v>
      </c>
      <c r="Y588" s="18">
        <f>(V588/D$8)^E$8</f>
        <v>0.11707786390726449</v>
      </c>
      <c r="Z588" s="38">
        <f>1-EXP(Y588-X588)</f>
        <v>9.8901631234137977E-2</v>
      </c>
      <c r="AA588" s="41">
        <f>K588*P588*U588*Z588</f>
        <v>3.0589909644979994E-3</v>
      </c>
      <c r="AB588" s="42">
        <f>1-AA588</f>
        <v>0.99694100903550198</v>
      </c>
      <c r="AC588" s="47">
        <f>(AF588*F$7)+E588+AC587</f>
        <v>263.33333333333331</v>
      </c>
      <c r="AD588" s="80">
        <v>1</v>
      </c>
      <c r="AE588" s="45">
        <v>1</v>
      </c>
      <c r="AF588" s="81">
        <v>1</v>
      </c>
      <c r="AG588" s="45">
        <v>0</v>
      </c>
      <c r="AH588" s="94">
        <v>110</v>
      </c>
    </row>
    <row r="589" spans="1:34" ht="18.75" x14ac:dyDescent="0.3">
      <c r="A589" s="132" t="s">
        <v>53</v>
      </c>
      <c r="B589" s="132"/>
      <c r="C589" s="132"/>
      <c r="D589" s="132"/>
      <c r="E589" s="132"/>
      <c r="F589" s="132"/>
      <c r="G589" s="132"/>
      <c r="H589" s="132"/>
      <c r="I589" s="132"/>
      <c r="J589" s="132"/>
      <c r="AG589" s="46"/>
    </row>
    <row r="590" spans="1:34" ht="15.75" x14ac:dyDescent="0.25">
      <c r="A590" s="19" t="s">
        <v>48</v>
      </c>
      <c r="B590" s="60" t="s">
        <v>49</v>
      </c>
      <c r="C590" s="61" t="s">
        <v>50</v>
      </c>
      <c r="D590" s="19" t="s">
        <v>54</v>
      </c>
      <c r="E590" s="60" t="s">
        <v>57</v>
      </c>
      <c r="F590" s="61" t="s">
        <v>50</v>
      </c>
      <c r="G590" s="19" t="s">
        <v>58</v>
      </c>
      <c r="H590" s="60" t="s">
        <v>61</v>
      </c>
      <c r="I590" s="61" t="s">
        <v>50</v>
      </c>
      <c r="J590" s="19" t="s">
        <v>82</v>
      </c>
      <c r="K590" s="83" t="s">
        <v>84</v>
      </c>
      <c r="L590" s="61" t="s">
        <v>50</v>
      </c>
      <c r="M590" s="61" t="s">
        <v>85</v>
      </c>
      <c r="O590" s="174" t="s">
        <v>64</v>
      </c>
      <c r="P590" s="174"/>
      <c r="Q590" s="175" t="s">
        <v>109</v>
      </c>
      <c r="R590" s="175"/>
    </row>
    <row r="591" spans="1:34" ht="24.75" x14ac:dyDescent="0.25">
      <c r="A591" s="61" t="s">
        <v>51</v>
      </c>
      <c r="B591" s="1">
        <f>AA585</f>
        <v>2.9465138194053318E-5</v>
      </c>
      <c r="C591" s="59">
        <f>MAX(AC585+1*L578-F585,0)</f>
        <v>13</v>
      </c>
      <c r="D591" s="62" t="s">
        <v>55</v>
      </c>
      <c r="E591" s="1">
        <f>AA585*AA586</f>
        <v>6.0611921761537649E-9</v>
      </c>
      <c r="F591" s="1">
        <f>MAX(AC586+2*L578-F586,0)</f>
        <v>51.666666666666657</v>
      </c>
      <c r="G591" s="62" t="s">
        <v>59</v>
      </c>
      <c r="H591" s="1">
        <f>AA585*AA586*AA587</f>
        <v>2.0041877165972921E-11</v>
      </c>
      <c r="I591" s="1">
        <f>AC587+3*L578-F587</f>
        <v>96.333333333333314</v>
      </c>
      <c r="J591" s="62" t="s">
        <v>83</v>
      </c>
      <c r="K591" s="1">
        <f>AA585*AA586*AA587*AA588</f>
        <v>6.1307921162289938E-14</v>
      </c>
      <c r="L591" s="1">
        <f>AC588+4*L578-F588</f>
        <v>205.33333333333331</v>
      </c>
      <c r="M591" s="1">
        <f>B591*C591*AH585+E591*F591*AH586+H591*I591*AH587+K591*L591*AH588</f>
        <v>1.5343019182136618E-2</v>
      </c>
      <c r="O591" s="1" t="s">
        <v>27</v>
      </c>
      <c r="P591" s="1">
        <f>H576</f>
        <v>1820</v>
      </c>
      <c r="Q591" s="1">
        <f>(K585*(1-P585)*(1-U585)*(1-Z585))+(P585*(1-K585)*(1-U585)*(1-Z585))+(U585*(1-K585)*(1-P585)*(1-Z585))+(Z585*(1-K585)*(1-P585)*(1-U585))</f>
        <v>0.32223571239848364</v>
      </c>
      <c r="R591" s="1">
        <f>Q591*(L$7*(J$5*K$5+L$5)+I$5)</f>
        <v>11357.197683484555</v>
      </c>
    </row>
    <row r="592" spans="1:34" ht="24.75" x14ac:dyDescent="0.25">
      <c r="A592" s="62" t="s">
        <v>52</v>
      </c>
      <c r="B592" s="1">
        <f>AB585</f>
        <v>0.99997053486180598</v>
      </c>
      <c r="C592" s="59">
        <f>MAX(AC585-F585,0)</f>
        <v>1</v>
      </c>
      <c r="D592" s="62" t="s">
        <v>56</v>
      </c>
      <c r="E592" s="1">
        <f>AA585*AB586+AA586*AB585</f>
        <v>2.351602531637427E-4</v>
      </c>
      <c r="F592" s="1">
        <f>MAX(AC586+1*L578-F586,0)</f>
        <v>39.666666666666657</v>
      </c>
      <c r="G592" s="62" t="s">
        <v>60</v>
      </c>
      <c r="H592" s="1">
        <f>AA585*AA586*AB587+AA586*AA587*AB585+AA585*AA587*AB586</f>
        <v>7.8361968126343183E-7</v>
      </c>
      <c r="I592" s="1">
        <f>AC587+2*L578-F587</f>
        <v>84.333333333333314</v>
      </c>
      <c r="J592" s="62" t="s">
        <v>59</v>
      </c>
      <c r="K592">
        <f>AB585*AA586*AA587*AA588+AB586*AA585*AA587*AA588*+AB587*AA585*AA586*AA588+AB588*AA585*AA586*AA587</f>
        <v>2.1006127492919287E-9</v>
      </c>
      <c r="L592" s="1">
        <f>AC588+3*L578-F588</f>
        <v>193.33333333333331</v>
      </c>
      <c r="M592" s="1">
        <f>B592*C592*AH585+E592*F592*AH586+H592*I592*AH587+K592*L592*AH588</f>
        <v>40.629460880743402</v>
      </c>
      <c r="O592" s="1" t="s">
        <v>28</v>
      </c>
      <c r="P592" s="1">
        <f>2*H577</f>
        <v>5440</v>
      </c>
      <c r="Q592" s="1">
        <f t="shared" ref="Q592:Q594" si="62">(K586*(1-P586)*(1-U586)*(1-Z586))+(P586*(1-K586)*(1-U586)*(1-Z586))+(U586*(1-K586)*(1-P586)*(1-Z586))+(Z586*(1-K586)*(1-P586)*(1-U586))</f>
        <v>0.4293717752593712</v>
      </c>
      <c r="R592" s="1">
        <f t="shared" ref="R592:R594" si="63">Q592*(L$7*(J$5*K$5+L$5)+I$5)</f>
        <v>15133.208219016538</v>
      </c>
    </row>
    <row r="593" spans="1:20" ht="24.75" x14ac:dyDescent="0.25">
      <c r="A593" s="1"/>
      <c r="B593" s="1"/>
      <c r="C593" s="1"/>
      <c r="D593" s="62" t="s">
        <v>52</v>
      </c>
      <c r="E593" s="1">
        <f>AB585*AB586</f>
        <v>0.99976483368564417</v>
      </c>
      <c r="F593" s="59">
        <f>MAX(AC586-F586,0)</f>
        <v>27.666666666666657</v>
      </c>
      <c r="G593" s="62" t="s">
        <v>56</v>
      </c>
      <c r="H593" s="1">
        <f>AA585*AB586*AB587+AA586*AB585*AB587*+AA587*AB585*AB586</f>
        <v>3.0039428891146341E-5</v>
      </c>
      <c r="I593" s="1">
        <f>AC587+1*L578-F587</f>
        <v>72.333333333333314</v>
      </c>
      <c r="J593" s="62" t="s">
        <v>60</v>
      </c>
      <c r="K593" s="1">
        <f>AA585*AA586*AB587*AB588 + AA585*AA587*AB586*AB588 + AA585*AA588*AB586*AB587 + AA586*AA587*AB585*AB588 + AA586*AA588*AB585*AB587 + AA587*AA588*AB585*AB586</f>
        <v>1.1610647208805635E-5</v>
      </c>
      <c r="L593" s="1">
        <f>AC588+2*L578-F588</f>
        <v>181.33333333333331</v>
      </c>
      <c r="M593" s="1">
        <f>B593*C593*AH585+E593*F593*AH586+H593*I593*AH587+K593*L593*AH588</f>
        <v>1853.6470328402459</v>
      </c>
      <c r="O593" s="1" t="s">
        <v>29</v>
      </c>
      <c r="P593" s="1">
        <f>2*(F578*(J576*K576+L576)+H578)</f>
        <v>28200</v>
      </c>
      <c r="Q593" s="1">
        <f t="shared" si="62"/>
        <v>0.45871142114641927</v>
      </c>
      <c r="R593" s="1">
        <f t="shared" si="63"/>
        <v>16167.284038305548</v>
      </c>
    </row>
    <row r="594" spans="1:20" ht="24.75" x14ac:dyDescent="0.25">
      <c r="A594" s="1"/>
      <c r="B594" s="1"/>
      <c r="C594" s="1"/>
      <c r="D594" s="1"/>
      <c r="E594" s="1"/>
      <c r="F594" s="1"/>
      <c r="G594" s="62" t="s">
        <v>52</v>
      </c>
      <c r="H594" s="1">
        <f>AB585*AB586*AB587</f>
        <v>0.99645902132905562</v>
      </c>
      <c r="I594" s="63">
        <f>AC587-F587</f>
        <v>60.333333333333314</v>
      </c>
      <c r="J594" s="62" t="s">
        <v>56</v>
      </c>
      <c r="K594" s="1">
        <f>AA585*AB586*AB587*AB588+AA586*AB585*AB587*AB588+AA587*AB585*AB586*AB588+AA588*AB585*AB586*AB587</f>
        <v>6.5775247493463727E-3</v>
      </c>
      <c r="L594" s="1">
        <f>AC588+1*L578-F588</f>
        <v>169.33333333333331</v>
      </c>
      <c r="M594" s="1">
        <f>B594*C594*AH585+E594*F594*AH586+H594*I594*AH587+K594*L594*AH588</f>
        <v>5232.6913753803301</v>
      </c>
      <c r="O594" s="1" t="s">
        <v>30</v>
      </c>
      <c r="P594" s="1">
        <v>0</v>
      </c>
      <c r="Q594" s="1">
        <f t="shared" si="62"/>
        <v>0.46871747386164347</v>
      </c>
      <c r="R594" s="1">
        <f t="shared" si="63"/>
        <v>16519.947366253626</v>
      </c>
    </row>
    <row r="595" spans="1:20" ht="30" x14ac:dyDescent="0.25">
      <c r="I595" s="84"/>
      <c r="J595" s="62" t="s">
        <v>52</v>
      </c>
      <c r="K595" s="85">
        <f>AB585*AB586*AB587*AB588</f>
        <v>0.99341086218631747</v>
      </c>
      <c r="L595" s="1">
        <f>AC588+0*L578-F588</f>
        <v>157.33333333333331</v>
      </c>
      <c r="M595" s="1">
        <f>B595*C595*AH585+E595*F595*AH586+H595*I595*AH587+K595*L595*AH588</f>
        <v>17192.630654904533</v>
      </c>
      <c r="O595" s="64" t="s">
        <v>65</v>
      </c>
      <c r="P595" s="65">
        <f>SUM(P591:P594)</f>
        <v>35460</v>
      </c>
      <c r="Q595" s="96" t="s">
        <v>108</v>
      </c>
      <c r="R595" s="97">
        <f>SUM(R591:R594)</f>
        <v>59177.637307060264</v>
      </c>
    </row>
    <row r="596" spans="1:20" x14ac:dyDescent="0.25">
      <c r="L596" s="176" t="s">
        <v>63</v>
      </c>
      <c r="M596" s="177">
        <f>SUM(M591:M595)</f>
        <v>24319.613867025037</v>
      </c>
    </row>
    <row r="597" spans="1:20" x14ac:dyDescent="0.25">
      <c r="L597" s="176"/>
      <c r="M597" s="177"/>
    </row>
    <row r="598" spans="1:20" x14ac:dyDescent="0.25">
      <c r="A598" s="178" t="s">
        <v>90</v>
      </c>
      <c r="B598" s="178"/>
      <c r="C598" s="178"/>
      <c r="D598" s="178"/>
      <c r="E598" s="178"/>
      <c r="F598" s="178"/>
      <c r="G598" s="178"/>
      <c r="H598" s="178"/>
      <c r="I598" s="178"/>
      <c r="J598" s="178"/>
      <c r="K598" s="178"/>
      <c r="L598" s="178"/>
      <c r="M598" s="178"/>
      <c r="N598" s="178"/>
    </row>
    <row r="599" spans="1:20" ht="15.75" x14ac:dyDescent="0.25">
      <c r="A599" s="87" t="s">
        <v>75</v>
      </c>
      <c r="B599" s="62" t="s">
        <v>49</v>
      </c>
      <c r="C599" s="90" t="s">
        <v>87</v>
      </c>
      <c r="D599" s="62" t="s">
        <v>88</v>
      </c>
      <c r="E599" s="87" t="s">
        <v>76</v>
      </c>
      <c r="F599" s="62" t="s">
        <v>57</v>
      </c>
      <c r="G599" s="90" t="s">
        <v>102</v>
      </c>
      <c r="H599" s="62" t="s">
        <v>88</v>
      </c>
      <c r="I599" s="87" t="s">
        <v>77</v>
      </c>
      <c r="J599" s="62" t="s">
        <v>61</v>
      </c>
      <c r="K599" s="90" t="s">
        <v>78</v>
      </c>
      <c r="L599" s="62" t="s">
        <v>88</v>
      </c>
      <c r="M599" s="87" t="s">
        <v>86</v>
      </c>
      <c r="N599" s="62" t="s">
        <v>84</v>
      </c>
      <c r="O599" s="90" t="s">
        <v>103</v>
      </c>
      <c r="P599" s="62" t="s">
        <v>88</v>
      </c>
    </row>
    <row r="600" spans="1:20" ht="24.75" x14ac:dyDescent="0.25">
      <c r="A600" s="62" t="s">
        <v>51</v>
      </c>
      <c r="B600" s="86">
        <v>2.9465138194053318E-5</v>
      </c>
      <c r="C600" s="86">
        <f>AC585+1*L578</f>
        <v>89</v>
      </c>
      <c r="D600" s="86">
        <f>MAX(B600*1.5*((C600-F585)*500/2),0)</f>
        <v>0.14364254869600993</v>
      </c>
      <c r="E600" s="62" t="s">
        <v>55</v>
      </c>
      <c r="F600" s="86">
        <v>6.0611921761537649E-9</v>
      </c>
      <c r="G600" s="86">
        <f>AC586+2*L578</f>
        <v>146.66666666666666</v>
      </c>
      <c r="H600" s="86">
        <f>F600*1.5*((G600-F586)*500/2+(G600-F587)*500+(G600-F588)*500)</f>
        <v>3.3260792066643774E-4</v>
      </c>
      <c r="I600" s="62" t="s">
        <v>59</v>
      </c>
      <c r="J600" s="86">
        <v>2.0041877165972921E-11</v>
      </c>
      <c r="K600" s="86">
        <f>AC587+3*L578</f>
        <v>236.33333333333331</v>
      </c>
      <c r="L600" s="86">
        <f>J600*1.5*((K600-G600)*500/2+(K600-G600)*500)</f>
        <v>2.0217243591175186E-6</v>
      </c>
      <c r="M600" s="62" t="s">
        <v>83</v>
      </c>
      <c r="N600" s="86">
        <v>6.1307921162289938E-14</v>
      </c>
      <c r="O600" s="86">
        <f>AC588+4*L578</f>
        <v>311.33333333333331</v>
      </c>
      <c r="P600" s="86">
        <f>N600*1.5*((O600-K600)*500/2)</f>
        <v>1.7242852826894046E-9</v>
      </c>
    </row>
    <row r="601" spans="1:20" ht="24.75" x14ac:dyDescent="0.25">
      <c r="A601" s="62" t="s">
        <v>52</v>
      </c>
      <c r="B601" s="86">
        <v>0.99997053486180598</v>
      </c>
      <c r="C601" s="88">
        <f>AC585</f>
        <v>77</v>
      </c>
      <c r="D601" s="86">
        <f>MAX(B601*1.5*((C601-F585)*500/2),0)</f>
        <v>374.98895057317725</v>
      </c>
      <c r="E601" s="62" t="s">
        <v>56</v>
      </c>
      <c r="F601" s="86">
        <v>2.351602531637427E-4</v>
      </c>
      <c r="G601" s="86">
        <f>AC586+1*L578</f>
        <v>134.66666666666666</v>
      </c>
      <c r="H601" s="86">
        <f>F601*1.5*((G601-F586)*500/2+(G601-F588)*500)</f>
        <v>8.5539542088311382</v>
      </c>
      <c r="I601" s="62" t="s">
        <v>60</v>
      </c>
      <c r="J601" s="86">
        <v>7.8361968126343183E-7</v>
      </c>
      <c r="K601" s="86">
        <f>AC587+2*L578</f>
        <v>224.33333333333331</v>
      </c>
      <c r="L601" s="86">
        <f>J601*1.5*((K601-F587)*500/2+(K601-G601)*500)</f>
        <v>7.7480395984921818E-2</v>
      </c>
      <c r="M601" s="62" t="s">
        <v>59</v>
      </c>
      <c r="N601" s="86">
        <v>2.1006127492919287E-9</v>
      </c>
      <c r="O601" s="86">
        <f>AC588+3*L578</f>
        <v>299.33333333333331</v>
      </c>
      <c r="P601" s="86">
        <f>N601*1.5*((O601-K601)*500/2)</f>
        <v>5.9079733573835501E-5</v>
      </c>
    </row>
    <row r="602" spans="1:20" x14ac:dyDescent="0.25">
      <c r="A602" s="86"/>
      <c r="B602" s="86"/>
      <c r="C602" s="89" t="s">
        <v>89</v>
      </c>
      <c r="D602" s="89">
        <f>SUM(D600:D601)</f>
        <v>375.13259312187324</v>
      </c>
      <c r="E602" s="62" t="s">
        <v>52</v>
      </c>
      <c r="F602" s="86">
        <v>0.99976483368564417</v>
      </c>
      <c r="G602" s="86">
        <f>AC586+0*L578</f>
        <v>122.66666666666666</v>
      </c>
      <c r="H602" s="86">
        <f>F602*1.5*((G602-F586)*500/2+(G602-F588)*500)</f>
        <v>22869.620570559102</v>
      </c>
      <c r="I602" s="62" t="s">
        <v>56</v>
      </c>
      <c r="J602" s="86">
        <v>3.0039428891146341E-5</v>
      </c>
      <c r="K602" s="86">
        <f>AC587+1*L578</f>
        <v>212.33333333333331</v>
      </c>
      <c r="L602" s="86">
        <f>J602*1.5*((K602-F587)*500/2+(K602-G602)*500)</f>
        <v>2.8349711016019357</v>
      </c>
      <c r="M602" s="62" t="s">
        <v>60</v>
      </c>
      <c r="N602" s="86">
        <v>1.1610647208805635E-5</v>
      </c>
      <c r="O602" s="86">
        <f>AC588+2*L578</f>
        <v>287.33333333333331</v>
      </c>
      <c r="P602" s="86">
        <f>N602*1.5*((O602-K602)*500/2)</f>
        <v>0.32654945274765845</v>
      </c>
    </row>
    <row r="603" spans="1:20" x14ac:dyDescent="0.25">
      <c r="A603" s="86"/>
      <c r="B603" s="86"/>
      <c r="C603" s="86"/>
      <c r="D603" s="86"/>
      <c r="E603" s="86"/>
      <c r="F603" s="86"/>
      <c r="G603" s="89" t="s">
        <v>79</v>
      </c>
      <c r="H603" s="89">
        <f>SUM(H600:H602)</f>
        <v>22878.174857375852</v>
      </c>
      <c r="I603" s="62" t="s">
        <v>52</v>
      </c>
      <c r="J603" s="86">
        <v>0.99645902132905562</v>
      </c>
      <c r="K603" s="86">
        <f>AC587+0*L578</f>
        <v>200.33333333333331</v>
      </c>
      <c r="L603" s="86">
        <f>J603*1.5*((K603-F587)*500/2+(K603-G602)*500)</f>
        <v>80588.623349987363</v>
      </c>
      <c r="M603" s="62" t="s">
        <v>56</v>
      </c>
      <c r="N603" s="86">
        <v>6.5775247493463727E-3</v>
      </c>
      <c r="O603" s="86">
        <f>AC588+1*L578</f>
        <v>275.33333333333331</v>
      </c>
      <c r="P603" s="86">
        <f>N603*1.5*((O603-K603)*500/2)</f>
        <v>184.99288357536676</v>
      </c>
    </row>
    <row r="604" spans="1:20" x14ac:dyDescent="0.25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9" t="s">
        <v>79</v>
      </c>
      <c r="L604" s="89">
        <f>SUM(L600:L603)</f>
        <v>80591.535803506675</v>
      </c>
      <c r="M604" s="62" t="s">
        <v>52</v>
      </c>
      <c r="N604" s="86">
        <v>0.99341086218631747</v>
      </c>
      <c r="O604" s="86">
        <f>AC588+0*L578</f>
        <v>263.33333333333331</v>
      </c>
      <c r="P604" s="86">
        <f>N604*1.5*((O604-K603)*500/2)</f>
        <v>23469.331619151752</v>
      </c>
      <c r="Q604" s="179" t="s">
        <v>80</v>
      </c>
      <c r="R604" s="179"/>
      <c r="S604" s="180">
        <f>D602+H603+L604+P605</f>
        <v>127499.49436526572</v>
      </c>
      <c r="T604" s="180"/>
    </row>
    <row r="605" spans="1:20" x14ac:dyDescent="0.25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9" t="s">
        <v>79</v>
      </c>
      <c r="P605" s="89">
        <f>SUM(P600:P604)</f>
        <v>23654.651111261323</v>
      </c>
      <c r="Q605" s="179"/>
      <c r="R605" s="179"/>
      <c r="S605" s="180"/>
      <c r="T605" s="180"/>
    </row>
    <row r="606" spans="1:20" x14ac:dyDescent="0.25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</row>
    <row r="607" spans="1:20" x14ac:dyDescent="0.25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</row>
    <row r="608" spans="1:20" x14ac:dyDescent="0.25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</row>
    <row r="609" spans="1:34" ht="24.75" thickBot="1" x14ac:dyDescent="0.3">
      <c r="O609" s="131" t="s">
        <v>81</v>
      </c>
      <c r="P609" s="131"/>
      <c r="Q609" s="131">
        <f>(R595+P595+M596+S604)/AC588</f>
        <v>935.91169192158623</v>
      </c>
      <c r="R609" s="131"/>
    </row>
    <row r="610" spans="1:34" x14ac:dyDescent="0.25">
      <c r="A610" s="181" t="s">
        <v>121</v>
      </c>
      <c r="B610" s="182"/>
    </row>
    <row r="611" spans="1:34" ht="15.75" thickBot="1" x14ac:dyDescent="0.3">
      <c r="A611" s="183"/>
      <c r="B611" s="184"/>
    </row>
    <row r="612" spans="1:34" ht="21" x14ac:dyDescent="0.35">
      <c r="A612" s="185" t="s">
        <v>14</v>
      </c>
      <c r="B612" s="185"/>
      <c r="C612" s="165"/>
      <c r="D612" s="165"/>
      <c r="E612" s="165"/>
      <c r="F612" s="165"/>
      <c r="G612" s="165"/>
      <c r="H612" s="165"/>
      <c r="I612" s="165"/>
      <c r="J612" s="165"/>
      <c r="K612" s="165"/>
      <c r="L612" s="165"/>
      <c r="M612" s="165"/>
      <c r="O612" s="166" t="s">
        <v>72</v>
      </c>
      <c r="P612" s="166"/>
      <c r="Q612" s="166"/>
      <c r="R612" s="166"/>
      <c r="S612" s="166"/>
      <c r="T612" s="166"/>
      <c r="U612" s="166"/>
      <c r="V612" s="166"/>
    </row>
    <row r="613" spans="1:34" ht="36" x14ac:dyDescent="0.25">
      <c r="A613" s="4" t="s">
        <v>15</v>
      </c>
      <c r="B613" s="4" t="s">
        <v>16</v>
      </c>
      <c r="C613" s="4" t="s">
        <v>31</v>
      </c>
      <c r="D613" s="6" t="s">
        <v>17</v>
      </c>
      <c r="E613" s="6" t="s">
        <v>18</v>
      </c>
      <c r="F613" s="6" t="s">
        <v>19</v>
      </c>
      <c r="G613" s="6" t="s">
        <v>20</v>
      </c>
      <c r="H613" s="6" t="s">
        <v>21</v>
      </c>
      <c r="I613" s="6" t="s">
        <v>22</v>
      </c>
      <c r="J613" s="6" t="s">
        <v>23</v>
      </c>
      <c r="K613" s="6" t="s">
        <v>24</v>
      </c>
      <c r="L613" s="6" t="s">
        <v>25</v>
      </c>
      <c r="M613" s="6" t="s">
        <v>26</v>
      </c>
      <c r="N613" s="8"/>
      <c r="O613" s="167" t="s">
        <v>32</v>
      </c>
      <c r="P613" s="167" t="s">
        <v>35</v>
      </c>
      <c r="Q613" s="167" t="s">
        <v>66</v>
      </c>
      <c r="R613" s="99" t="s">
        <v>67</v>
      </c>
      <c r="S613" s="99" t="s">
        <v>68</v>
      </c>
      <c r="T613" s="167" t="s">
        <v>69</v>
      </c>
      <c r="U613" s="71" t="s">
        <v>33</v>
      </c>
      <c r="V613" s="99" t="s">
        <v>70</v>
      </c>
    </row>
    <row r="614" spans="1:34" x14ac:dyDescent="0.25">
      <c r="A614" s="3" t="s">
        <v>27</v>
      </c>
      <c r="B614" s="3">
        <v>0</v>
      </c>
      <c r="C614" s="3">
        <v>0.3</v>
      </c>
      <c r="D614" s="3">
        <v>243</v>
      </c>
      <c r="E614" s="3">
        <v>1.73</v>
      </c>
      <c r="F614" s="3">
        <v>5</v>
      </c>
      <c r="G614" s="169">
        <v>12</v>
      </c>
      <c r="H614" s="3">
        <v>1820</v>
      </c>
      <c r="I614" s="169">
        <v>19645</v>
      </c>
      <c r="J614" s="3">
        <v>20</v>
      </c>
      <c r="K614" s="3">
        <v>40</v>
      </c>
      <c r="L614" s="3">
        <v>500</v>
      </c>
      <c r="M614" s="3">
        <v>1000</v>
      </c>
      <c r="O614" s="168"/>
      <c r="P614" s="168"/>
      <c r="Q614" s="168"/>
      <c r="R614" s="72" t="s">
        <v>71</v>
      </c>
      <c r="S614" s="72" t="s">
        <v>71</v>
      </c>
      <c r="T614" s="168"/>
      <c r="U614" s="73">
        <v>500</v>
      </c>
      <c r="V614" s="3">
        <v>1.5</v>
      </c>
    </row>
    <row r="615" spans="1:34" x14ac:dyDescent="0.25">
      <c r="A615" s="3" t="s">
        <v>28</v>
      </c>
      <c r="B615" s="3">
        <v>0</v>
      </c>
      <c r="C615" s="3">
        <v>0.3</v>
      </c>
      <c r="D615" s="3">
        <v>254</v>
      </c>
      <c r="E615" s="3">
        <v>1.88</v>
      </c>
      <c r="F615" s="3">
        <v>3</v>
      </c>
      <c r="G615" s="170"/>
      <c r="H615" s="3">
        <v>2720</v>
      </c>
      <c r="I615" s="170"/>
      <c r="J615" s="5"/>
      <c r="K615" s="5"/>
      <c r="L615" s="5"/>
      <c r="M615" s="5"/>
      <c r="O615" s="74">
        <v>1</v>
      </c>
      <c r="P615" s="74">
        <v>106</v>
      </c>
      <c r="Q615" s="74">
        <v>110</v>
      </c>
      <c r="R615" s="74">
        <v>6</v>
      </c>
      <c r="S615" s="74">
        <v>5</v>
      </c>
      <c r="T615" s="74">
        <f>R615*$U$5/60+S615</f>
        <v>55</v>
      </c>
      <c r="U615" s="75"/>
    </row>
    <row r="616" spans="1:34" x14ac:dyDescent="0.25">
      <c r="A616" s="3" t="s">
        <v>29</v>
      </c>
      <c r="B616" s="3">
        <v>0</v>
      </c>
      <c r="C616" s="3">
        <v>0.3</v>
      </c>
      <c r="D616" s="3">
        <v>143</v>
      </c>
      <c r="E616" s="3">
        <v>2.4300000000000002</v>
      </c>
      <c r="F616" s="3">
        <v>8</v>
      </c>
      <c r="G616" s="170"/>
      <c r="H616" s="3">
        <v>3700</v>
      </c>
      <c r="I616" s="170"/>
      <c r="J616" s="5"/>
      <c r="K616" s="140" t="s">
        <v>73</v>
      </c>
      <c r="L616" s="141">
        <v>12</v>
      </c>
      <c r="M616" s="140" t="s">
        <v>74</v>
      </c>
      <c r="N616" s="141">
        <v>19645</v>
      </c>
      <c r="O616" s="74">
        <v>2</v>
      </c>
      <c r="P616" s="74">
        <v>76</v>
      </c>
      <c r="Q616" s="74">
        <v>40</v>
      </c>
      <c r="R616" s="74">
        <v>9</v>
      </c>
      <c r="S616" s="74">
        <v>2</v>
      </c>
      <c r="T616" s="74">
        <f t="shared" ref="T616:T618" si="64">R616*$U$5/60+S616</f>
        <v>77</v>
      </c>
      <c r="U616" s="75"/>
    </row>
    <row r="617" spans="1:34" x14ac:dyDescent="0.25">
      <c r="A617" s="3" t="s">
        <v>30</v>
      </c>
      <c r="B617" s="3">
        <v>0</v>
      </c>
      <c r="C617" s="3">
        <v>0.3</v>
      </c>
      <c r="D617" s="3">
        <v>449</v>
      </c>
      <c r="E617" s="3">
        <v>2.5299999999999998</v>
      </c>
      <c r="F617" s="3">
        <v>4</v>
      </c>
      <c r="G617" s="171"/>
      <c r="H617" s="3">
        <v>4320</v>
      </c>
      <c r="I617" s="171"/>
      <c r="J617" s="5"/>
      <c r="K617" s="140"/>
      <c r="L617" s="141"/>
      <c r="M617" s="140"/>
      <c r="N617" s="141"/>
      <c r="O617" s="74">
        <v>3</v>
      </c>
      <c r="P617" s="74">
        <v>95</v>
      </c>
      <c r="Q617" s="74">
        <v>67</v>
      </c>
      <c r="R617" s="74">
        <v>5</v>
      </c>
      <c r="S617" s="74">
        <v>4</v>
      </c>
      <c r="T617" s="74">
        <f t="shared" si="64"/>
        <v>45.666666666666664</v>
      </c>
      <c r="U617" s="75"/>
    </row>
    <row r="618" spans="1:34" ht="15.75" thickBo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O618" s="74">
        <v>4</v>
      </c>
      <c r="P618" s="74">
        <v>140</v>
      </c>
      <c r="Q618" s="94">
        <v>85</v>
      </c>
      <c r="R618" s="94">
        <v>8</v>
      </c>
      <c r="S618" s="94">
        <v>3</v>
      </c>
      <c r="T618" s="74">
        <f t="shared" si="64"/>
        <v>69.666666666666671</v>
      </c>
    </row>
    <row r="619" spans="1:34" ht="15" customHeight="1" x14ac:dyDescent="0.25">
      <c r="A619" s="142" t="s">
        <v>101</v>
      </c>
      <c r="B619" s="144" t="s">
        <v>107</v>
      </c>
      <c r="C619" s="144"/>
      <c r="D619" s="144"/>
      <c r="E619" s="144"/>
      <c r="F619" s="20" t="s">
        <v>27</v>
      </c>
      <c r="G619" s="20" t="s">
        <v>28</v>
      </c>
      <c r="H619" s="20" t="s">
        <v>29</v>
      </c>
      <c r="I619" s="20" t="s">
        <v>30</v>
      </c>
    </row>
    <row r="620" spans="1:34" ht="15.75" customHeight="1" thickBot="1" x14ac:dyDescent="0.3">
      <c r="A620" s="143"/>
      <c r="B620" s="145"/>
      <c r="C620" s="145"/>
      <c r="D620" s="145"/>
      <c r="E620" s="145"/>
      <c r="F620" s="20">
        <v>168</v>
      </c>
      <c r="G620" s="26">
        <v>84</v>
      </c>
      <c r="H620" s="26">
        <v>84</v>
      </c>
      <c r="I620" s="26">
        <v>252</v>
      </c>
    </row>
    <row r="621" spans="1:34" ht="15.75" customHeight="1" thickBot="1" x14ac:dyDescent="0.3">
      <c r="A621" s="143"/>
      <c r="B621" s="145"/>
      <c r="C621" s="145"/>
      <c r="D621" s="145"/>
      <c r="E621" s="145"/>
      <c r="F621" s="7"/>
      <c r="G621" s="146" t="s">
        <v>27</v>
      </c>
      <c r="H621" s="147"/>
      <c r="I621" s="147"/>
      <c r="J621" s="147"/>
      <c r="K621" s="148"/>
      <c r="L621" s="149" t="s">
        <v>28</v>
      </c>
      <c r="M621" s="150"/>
      <c r="N621" s="150"/>
      <c r="O621" s="150"/>
      <c r="P621" s="151"/>
      <c r="Q621" s="152" t="s">
        <v>29</v>
      </c>
      <c r="R621" s="153"/>
      <c r="S621" s="153"/>
      <c r="T621" s="153"/>
      <c r="U621" s="154"/>
      <c r="V621" s="155" t="s">
        <v>30</v>
      </c>
      <c r="W621" s="156"/>
      <c r="X621" s="156"/>
      <c r="Y621" s="156"/>
      <c r="Z621" s="157"/>
      <c r="AA621" s="158" t="s">
        <v>42</v>
      </c>
      <c r="AB621" s="159"/>
      <c r="AC621" s="160" t="s">
        <v>44</v>
      </c>
      <c r="AD621" s="162" t="s">
        <v>47</v>
      </c>
      <c r="AE621" s="163"/>
      <c r="AF621" s="163"/>
      <c r="AG621" s="164"/>
      <c r="AH621" s="138" t="s">
        <v>62</v>
      </c>
    </row>
    <row r="622" spans="1:34" ht="36.75" x14ac:dyDescent="0.25">
      <c r="A622" s="21" t="s">
        <v>32</v>
      </c>
      <c r="B622" s="22" t="s">
        <v>37</v>
      </c>
      <c r="C622" s="23" t="s">
        <v>33</v>
      </c>
      <c r="D622" s="22" t="s">
        <v>38</v>
      </c>
      <c r="E622" s="22" t="s">
        <v>34</v>
      </c>
      <c r="F622" s="25" t="s">
        <v>35</v>
      </c>
      <c r="G622" s="27" t="s">
        <v>39</v>
      </c>
      <c r="H622" s="10" t="s">
        <v>40</v>
      </c>
      <c r="I622" s="10" t="s">
        <v>45</v>
      </c>
      <c r="J622" s="10" t="s">
        <v>46</v>
      </c>
      <c r="K622" s="28" t="s">
        <v>41</v>
      </c>
      <c r="L622" s="30" t="s">
        <v>39</v>
      </c>
      <c r="M622" s="13" t="s">
        <v>40</v>
      </c>
      <c r="N622" s="13" t="s">
        <v>45</v>
      </c>
      <c r="O622" s="13" t="s">
        <v>46</v>
      </c>
      <c r="P622" s="31" t="s">
        <v>41</v>
      </c>
      <c r="Q622" s="33" t="s">
        <v>39</v>
      </c>
      <c r="R622" s="12" t="s">
        <v>40</v>
      </c>
      <c r="S622" s="12" t="s">
        <v>45</v>
      </c>
      <c r="T622" s="12" t="s">
        <v>46</v>
      </c>
      <c r="U622" s="34" t="s">
        <v>41</v>
      </c>
      <c r="V622" s="36" t="s">
        <v>39</v>
      </c>
      <c r="W622" s="11" t="s">
        <v>40</v>
      </c>
      <c r="X622" s="11" t="s">
        <v>45</v>
      </c>
      <c r="Y622" s="11" t="s">
        <v>46</v>
      </c>
      <c r="Z622" s="37" t="s">
        <v>41</v>
      </c>
      <c r="AA622" s="39" t="s">
        <v>41</v>
      </c>
      <c r="AB622" s="40" t="s">
        <v>43</v>
      </c>
      <c r="AC622" s="161"/>
      <c r="AD622" s="43" t="s">
        <v>27</v>
      </c>
      <c r="AE622" s="1" t="s">
        <v>28</v>
      </c>
      <c r="AF622" s="1" t="s">
        <v>29</v>
      </c>
      <c r="AG622" s="1" t="s">
        <v>30</v>
      </c>
      <c r="AH622" s="139"/>
    </row>
    <row r="623" spans="1:34" x14ac:dyDescent="0.25">
      <c r="A623" s="24">
        <v>2</v>
      </c>
      <c r="B623" s="9">
        <v>9</v>
      </c>
      <c r="C623" s="9">
        <v>500</v>
      </c>
      <c r="D623" s="9">
        <v>2</v>
      </c>
      <c r="E623" s="48">
        <f>B623*C623/60+D623</f>
        <v>77</v>
      </c>
      <c r="F623" s="100">
        <v>76</v>
      </c>
      <c r="G623" s="49">
        <f>B$5*(1-AD623*C$5)</f>
        <v>0</v>
      </c>
      <c r="H623" s="50">
        <f>G623+E623</f>
        <v>77</v>
      </c>
      <c r="I623" s="15">
        <f>(H623/D$5)^E$5</f>
        <v>0.13693992990275231</v>
      </c>
      <c r="J623" s="15">
        <f>(G623/D$5)^E$5</f>
        <v>0</v>
      </c>
      <c r="K623" s="29">
        <f>1-EXP(J623-I623)</f>
        <v>0.1279773929583623</v>
      </c>
      <c r="L623" s="51">
        <f>B$6*(1-AE623*C$6)</f>
        <v>0</v>
      </c>
      <c r="M623" s="52">
        <f>L623+E623</f>
        <v>77</v>
      </c>
      <c r="N623" s="17">
        <f>(M623/D$6)^E$6</f>
        <v>0.10605109964467559</v>
      </c>
      <c r="O623" s="17">
        <f>(L623/D$6)^E$6</f>
        <v>0</v>
      </c>
      <c r="P623" s="32">
        <f>1-EXP(O623-N623)</f>
        <v>0.10062131102974814</v>
      </c>
      <c r="Q623" s="53">
        <f>B$7*(1-AF623*C$7)</f>
        <v>0</v>
      </c>
      <c r="R623" s="54">
        <f>Q623+E623</f>
        <v>77</v>
      </c>
      <c r="S623" s="16">
        <f>(R623/D$7)^E$7</f>
        <v>0.2221804751105394</v>
      </c>
      <c r="T623" s="16">
        <f>(Q623/D$7)^E$7</f>
        <v>0</v>
      </c>
      <c r="U623" s="35">
        <f>1-EXP(T623-S623)</f>
        <v>0.19922916791162293</v>
      </c>
      <c r="V623" s="55">
        <f>B$8*(1-AG623*C$8)</f>
        <v>0</v>
      </c>
      <c r="W623" s="56">
        <f>V623+E623</f>
        <v>77</v>
      </c>
      <c r="X623" s="18">
        <f>(W623/D$8)^E$8</f>
        <v>1.1551497592884551E-2</v>
      </c>
      <c r="Y623" s="18">
        <f>(V623/D$8)^E$8</f>
        <v>0</v>
      </c>
      <c r="Z623" s="38">
        <f>1-EXP(Y623-X623)</f>
        <v>1.1485035204098715E-2</v>
      </c>
      <c r="AA623" s="41">
        <f>K623*P623*U623*Z623</f>
        <v>2.9465138194053318E-5</v>
      </c>
      <c r="AB623" s="42">
        <f>1-AA623</f>
        <v>0.99997053486180598</v>
      </c>
      <c r="AC623" s="47">
        <f>(AD623*F$5+AE623*F$6+AF623*F$7+AG623*F$8)+E623</f>
        <v>77</v>
      </c>
      <c r="AD623" s="43">
        <v>0</v>
      </c>
      <c r="AE623" s="1">
        <v>0</v>
      </c>
      <c r="AF623" s="1">
        <v>0</v>
      </c>
      <c r="AG623" s="1">
        <v>0</v>
      </c>
      <c r="AH623" s="74">
        <v>40</v>
      </c>
    </row>
    <row r="624" spans="1:34" x14ac:dyDescent="0.25">
      <c r="A624" s="76">
        <v>4</v>
      </c>
      <c r="B624" s="58">
        <v>8</v>
      </c>
      <c r="C624" s="9">
        <v>500</v>
      </c>
      <c r="D624" s="58">
        <v>3</v>
      </c>
      <c r="E624" s="48">
        <f t="shared" ref="E624:E626" si="65">B624*C624/60+D624</f>
        <v>69.666666666666671</v>
      </c>
      <c r="F624" s="100">
        <v>140</v>
      </c>
      <c r="G624" s="49">
        <f>H623*(1-AD624*C$5)</f>
        <v>77</v>
      </c>
      <c r="H624" s="50">
        <f>G624+E624</f>
        <v>146.66666666666669</v>
      </c>
      <c r="I624" s="15">
        <f>(H624/D$5)^E$5</f>
        <v>0.41749810283193062</v>
      </c>
      <c r="J624" s="15">
        <f>(G624/D$5)^E$5</f>
        <v>0.13693992990275231</v>
      </c>
      <c r="K624" s="29">
        <f>1-EXP(J624-I624)</f>
        <v>0.24463799885610593</v>
      </c>
      <c r="L624" s="51">
        <f>M623*(1-AE624*C$6)</f>
        <v>77</v>
      </c>
      <c r="M624" s="52">
        <f>L624+E624</f>
        <v>146.66666666666669</v>
      </c>
      <c r="N624" s="17">
        <f>(M624/D$6)^E$6</f>
        <v>0.35613584348340649</v>
      </c>
      <c r="O624" s="17">
        <f>(L624/D$6)^E$6</f>
        <v>0.10605109964467559</v>
      </c>
      <c r="P624" s="32">
        <f>1-EXP(O624-N624)</f>
        <v>0.2212652127001522</v>
      </c>
      <c r="Q624" s="53">
        <f>R623*(1-AF624*C$7)</f>
        <v>77</v>
      </c>
      <c r="R624" s="54">
        <f>Q624+E624</f>
        <v>146.66666666666669</v>
      </c>
      <c r="S624" s="16">
        <f>(R624/D$7)^E$7</f>
        <v>1.0634541830073496</v>
      </c>
      <c r="T624" s="16">
        <f>(Q624/D$7)^E$7</f>
        <v>0.2221804751105394</v>
      </c>
      <c r="U624" s="35">
        <f>1-EXP(T624-S624)</f>
        <v>0.56883899963352347</v>
      </c>
      <c r="V624" s="55">
        <f>W623*(1-AG624*C$8)</f>
        <v>77</v>
      </c>
      <c r="W624" s="56">
        <f>V624+E624</f>
        <v>146.66666666666669</v>
      </c>
      <c r="X624" s="18">
        <f>(W624/D$8)^E$8</f>
        <v>5.897056032024859E-2</v>
      </c>
      <c r="Y624" s="18">
        <f>(V624/D$8)^E$8</f>
        <v>1.1551497592884551E-2</v>
      </c>
      <c r="Z624" s="38">
        <f>1-EXP(Y624-X624)</f>
        <v>4.631234111296112E-2</v>
      </c>
      <c r="AA624" s="41">
        <f>K624*P624*U624*Z624</f>
        <v>1.4260119156093449E-3</v>
      </c>
      <c r="AB624" s="42">
        <f>1-AA624</f>
        <v>0.99857398808439068</v>
      </c>
      <c r="AC624" s="47">
        <f>AF624*F$7+E624+AC623</f>
        <v>146.66666666666669</v>
      </c>
      <c r="AD624" s="43">
        <v>0</v>
      </c>
      <c r="AE624" s="1">
        <v>0</v>
      </c>
      <c r="AF624" s="1">
        <v>0</v>
      </c>
      <c r="AG624" s="1">
        <v>0</v>
      </c>
      <c r="AH624" s="74">
        <v>85</v>
      </c>
    </row>
    <row r="625" spans="1:34" x14ac:dyDescent="0.25">
      <c r="A625" s="24">
        <v>1</v>
      </c>
      <c r="B625" s="9">
        <v>6</v>
      </c>
      <c r="C625" s="58">
        <v>500</v>
      </c>
      <c r="D625" s="58">
        <v>5</v>
      </c>
      <c r="E625" s="48">
        <f t="shared" si="65"/>
        <v>55</v>
      </c>
      <c r="F625" s="100">
        <v>106</v>
      </c>
      <c r="G625" s="68">
        <f>H624*(1-AD625*C$5)</f>
        <v>146.66666666666669</v>
      </c>
      <c r="H625" s="69">
        <f>G625+E625</f>
        <v>201.66666666666669</v>
      </c>
      <c r="I625" s="70">
        <f>(H625/D$5)^E$5</f>
        <v>0.72429948125597088</v>
      </c>
      <c r="J625" s="70">
        <f>(G625/D$5)^E$5</f>
        <v>0.41749810283193062</v>
      </c>
      <c r="K625" s="29">
        <f>1-EXP(J625-I625)</f>
        <v>0.26420326849917475</v>
      </c>
      <c r="L625" s="51">
        <f>M624*(1-AE625*C$6)</f>
        <v>102.66666666666667</v>
      </c>
      <c r="M625" s="52">
        <f>L625+E625</f>
        <v>157.66666666666669</v>
      </c>
      <c r="N625" s="17">
        <f>(M625/D$6)^E$6</f>
        <v>0.40800322739554595</v>
      </c>
      <c r="O625" s="17">
        <f>(L625/D$6)^E$6</f>
        <v>0.18213776408892768</v>
      </c>
      <c r="P625" s="32">
        <f>1-EXP(O625-N625)</f>
        <v>0.20217456875895568</v>
      </c>
      <c r="Q625" s="53">
        <f>R624*(1-AF625*C$7)</f>
        <v>102.66666666666667</v>
      </c>
      <c r="R625" s="54">
        <f>Q625+E625</f>
        <v>157.66666666666669</v>
      </c>
      <c r="S625" s="16">
        <f>(R625/D$7)^E$7</f>
        <v>1.2677725729300298</v>
      </c>
      <c r="T625" s="16">
        <f>(Q625/D$7)^E$7</f>
        <v>0.44699948326797367</v>
      </c>
      <c r="U625" s="35">
        <f>1-EXP(T625-S625)</f>
        <v>0.55990870707098139</v>
      </c>
      <c r="V625" s="55">
        <f>W624*(1-AG625*C$8)</f>
        <v>146.66666666666669</v>
      </c>
      <c r="W625" s="56">
        <f>V625+E625</f>
        <v>201.66666666666669</v>
      </c>
      <c r="X625" s="18">
        <f>(W625/D$8)^E$8</f>
        <v>0.13199001575183039</v>
      </c>
      <c r="Y625" s="18">
        <f>(V625/D$8)^E$8</f>
        <v>5.897056032024859E-2</v>
      </c>
      <c r="Z625" s="38">
        <f>1-EXP(Y625-X625)</f>
        <v>7.0417255583621996E-2</v>
      </c>
      <c r="AA625" s="41">
        <f>K625*P625*U625*Z625</f>
        <v>2.1060129031534474E-3</v>
      </c>
      <c r="AB625" s="42">
        <f>1-AA625</f>
        <v>0.99789398709684651</v>
      </c>
      <c r="AC625" s="47">
        <f>(AF625*F$7)+E625+AC624</f>
        <v>209.66666666666669</v>
      </c>
      <c r="AD625" s="77">
        <v>0</v>
      </c>
      <c r="AE625" s="78">
        <v>1</v>
      </c>
      <c r="AF625" s="78">
        <v>1</v>
      </c>
      <c r="AG625" s="78">
        <v>0</v>
      </c>
      <c r="AH625" s="74">
        <v>110</v>
      </c>
    </row>
    <row r="626" spans="1:34" ht="15.75" thickBot="1" x14ac:dyDescent="0.3">
      <c r="A626" s="57">
        <v>3</v>
      </c>
      <c r="B626" s="58">
        <v>5</v>
      </c>
      <c r="C626" s="58">
        <v>500</v>
      </c>
      <c r="D626" s="9">
        <v>4</v>
      </c>
      <c r="E626" s="48">
        <f t="shared" si="65"/>
        <v>45.666666666666664</v>
      </c>
      <c r="F626" s="100">
        <v>95</v>
      </c>
      <c r="G626" s="68">
        <f>H625*(1-AD626*C$5)</f>
        <v>141.16666666666666</v>
      </c>
      <c r="H626" s="69">
        <f>G626+E626</f>
        <v>186.83333333333331</v>
      </c>
      <c r="I626" s="70">
        <f>(H626/D$5)^E$5</f>
        <v>0.63462502467785764</v>
      </c>
      <c r="J626" s="70">
        <f>(G626/D$5)^E$5</f>
        <v>0.39078490830583607</v>
      </c>
      <c r="K626" s="29">
        <f>1-EXP(J626-I626)</f>
        <v>0.21638708887710267</v>
      </c>
      <c r="L626" s="51">
        <f>M625*(1-AE626*C$6)</f>
        <v>110.36666666666667</v>
      </c>
      <c r="M626" s="52">
        <f>L626+E626</f>
        <v>156.03333333333333</v>
      </c>
      <c r="N626" s="17">
        <f>(M626/D$6)^E$6</f>
        <v>0.40009331888325944</v>
      </c>
      <c r="O626" s="17">
        <f>(L626/D$6)^E$6</f>
        <v>0.20866418513797683</v>
      </c>
      <c r="P626" s="32">
        <f>1-EXP(O626-N626)</f>
        <v>0.17422185716279748</v>
      </c>
      <c r="Q626" s="53">
        <f>R625*(1-AF626*C$7)</f>
        <v>110.36666666666667</v>
      </c>
      <c r="R626" s="54">
        <f>Q626+E626</f>
        <v>156.03333333333333</v>
      </c>
      <c r="S626" s="16">
        <f>(R626/D$7)^E$7</f>
        <v>1.236094511081606</v>
      </c>
      <c r="T626" s="16">
        <f>(Q626/D$7)^E$7</f>
        <v>0.53288020683549875</v>
      </c>
      <c r="U626" s="35">
        <f>1-EXP(T626-S626)</f>
        <v>0.50500830990741408</v>
      </c>
      <c r="V626" s="55">
        <f>W625*(1-AG626*C$8)</f>
        <v>201.66666666666669</v>
      </c>
      <c r="W626" s="56">
        <f>V626+E626</f>
        <v>247.33333333333334</v>
      </c>
      <c r="X626" s="18">
        <f>(W626/D$8)^E$8</f>
        <v>0.22121871391987213</v>
      </c>
      <c r="Y626" s="18">
        <f>(V626/D$8)^E$8</f>
        <v>0.13199001575183039</v>
      </c>
      <c r="Z626" s="38">
        <f>1-EXP(Y626-X626)</f>
        <v>8.5363626009572924E-2</v>
      </c>
      <c r="AA626" s="41">
        <f>K626*P626*U626*Z626</f>
        <v>1.6251945679547429E-3</v>
      </c>
      <c r="AB626" s="42">
        <f>1-AA626</f>
        <v>0.99837480543204526</v>
      </c>
      <c r="AC626" s="47">
        <f>(AF626*F$7)+E626+AC625</f>
        <v>263.33333333333337</v>
      </c>
      <c r="AD626" s="80">
        <v>1</v>
      </c>
      <c r="AE626" s="45">
        <v>1</v>
      </c>
      <c r="AF626" s="81">
        <v>1</v>
      </c>
      <c r="AG626" s="45">
        <v>0</v>
      </c>
      <c r="AH626" s="94">
        <v>67</v>
      </c>
    </row>
    <row r="627" spans="1:34" ht="18.75" x14ac:dyDescent="0.3">
      <c r="A627" s="132" t="s">
        <v>53</v>
      </c>
      <c r="B627" s="132"/>
      <c r="C627" s="132"/>
      <c r="D627" s="132"/>
      <c r="E627" s="132"/>
      <c r="F627" s="132"/>
      <c r="G627" s="132"/>
      <c r="H627" s="132"/>
      <c r="I627" s="132"/>
      <c r="J627" s="132"/>
      <c r="AG627" s="46"/>
    </row>
    <row r="628" spans="1:34" ht="15.75" x14ac:dyDescent="0.25">
      <c r="A628" s="19" t="s">
        <v>48</v>
      </c>
      <c r="B628" s="60" t="s">
        <v>49</v>
      </c>
      <c r="C628" s="61" t="s">
        <v>50</v>
      </c>
      <c r="D628" s="19" t="s">
        <v>82</v>
      </c>
      <c r="E628" s="60" t="s">
        <v>57</v>
      </c>
      <c r="F628" s="61" t="s">
        <v>50</v>
      </c>
      <c r="G628" s="19" t="s">
        <v>58</v>
      </c>
      <c r="H628" s="60" t="s">
        <v>61</v>
      </c>
      <c r="I628" s="61" t="s">
        <v>50</v>
      </c>
      <c r="J628" s="19" t="s">
        <v>54</v>
      </c>
      <c r="K628" s="83" t="s">
        <v>84</v>
      </c>
      <c r="L628" s="61" t="s">
        <v>50</v>
      </c>
      <c r="M628" s="61" t="s">
        <v>85</v>
      </c>
      <c r="O628" s="174" t="s">
        <v>64</v>
      </c>
      <c r="P628" s="174"/>
      <c r="Q628" s="175" t="s">
        <v>109</v>
      </c>
      <c r="R628" s="175"/>
    </row>
    <row r="629" spans="1:34" ht="24.75" x14ac:dyDescent="0.25">
      <c r="A629" s="61" t="s">
        <v>51</v>
      </c>
      <c r="B629" s="1">
        <f>AA623</f>
        <v>2.9465138194053318E-5</v>
      </c>
      <c r="C629" s="59">
        <f>MAX(AC623+1*L616-F623,0)</f>
        <v>13</v>
      </c>
      <c r="D629" s="62" t="s">
        <v>55</v>
      </c>
      <c r="E629" s="1">
        <f>AA623*AA624</f>
        <v>4.2017638159796044E-8</v>
      </c>
      <c r="F629" s="1">
        <f>MAX(AC624+2*L616-F624,0)</f>
        <v>30.666666666666686</v>
      </c>
      <c r="G629" s="62" t="s">
        <v>59</v>
      </c>
      <c r="H629" s="1">
        <f>AA623*AA624*AA625</f>
        <v>8.8489688124563148E-11</v>
      </c>
      <c r="I629" s="1">
        <f>AC625+3*L616-F625</f>
        <v>139.66666666666669</v>
      </c>
      <c r="J629" s="62" t="s">
        <v>83</v>
      </c>
      <c r="K629" s="1">
        <f>AA623*AA624*AA625*AA626</f>
        <v>1.4381296046004933E-13</v>
      </c>
      <c r="L629" s="1">
        <f>AC626+4*L616-F626</f>
        <v>216.33333333333337</v>
      </c>
      <c r="M629" s="1">
        <f>B629*C629*AH623+E629*F629*AH624+H629*I629*AH625+K629*L629*AH626</f>
        <v>1.5432759418759132E-2</v>
      </c>
      <c r="O629" s="1" t="s">
        <v>27</v>
      </c>
      <c r="P629" s="1">
        <f>H614</f>
        <v>1820</v>
      </c>
      <c r="Q629" s="1">
        <f>(K623*(1-P623)*(1-U623)*(1-Z623))+(P623*(1-K623)*(1-U623)*(1-Z623))+(U623*(1-K623)*(1-P623)*(1-Z623))+(Z623*(1-K623)*(1-P623)*(1-U623))</f>
        <v>0.32223571239848364</v>
      </c>
      <c r="R629" s="1">
        <f>Q629*(L$7*(J$5*K$5+L$5)+I$5)</f>
        <v>11357.197683484555</v>
      </c>
    </row>
    <row r="630" spans="1:34" ht="24.75" x14ac:dyDescent="0.25">
      <c r="A630" s="62" t="s">
        <v>52</v>
      </c>
      <c r="B630" s="1">
        <f>AB623</f>
        <v>0.99997053486180598</v>
      </c>
      <c r="C630" s="59">
        <f>MAX(AC623-F623,0)</f>
        <v>1</v>
      </c>
      <c r="D630" s="62" t="s">
        <v>56</v>
      </c>
      <c r="E630" s="1">
        <f>AA623*AB624+AA624*AB623</f>
        <v>1.4553930185270787E-3</v>
      </c>
      <c r="F630" s="1">
        <f>MAX(AC624+1*L616-F624,0)</f>
        <v>18.666666666666686</v>
      </c>
      <c r="G630" s="62" t="s">
        <v>60</v>
      </c>
      <c r="H630" s="1">
        <f>AA623*AA624*AB625+AA624*AA625*AB623+AA623*AA625*AB624</f>
        <v>3.1070056246491433E-6</v>
      </c>
      <c r="I630" s="1">
        <f>AC625+2*L616-F625</f>
        <v>127.66666666666669</v>
      </c>
      <c r="J630" s="62" t="s">
        <v>59</v>
      </c>
      <c r="K630">
        <f>AB623*AA624*AA625*AA626+AB624*AA623*AA625*AA626*+AB625*AA623*AA624*AA626+AB626*AA623*AA624*AA625</f>
        <v>4.9689855668700492E-9</v>
      </c>
      <c r="L630" s="1">
        <f>AC626+3*L616-F626</f>
        <v>204.33333333333337</v>
      </c>
      <c r="M630" s="1">
        <f>B630*C630*AH623+E630*F630*AH624+H630*I630*AH625+K630*L630*AH626</f>
        <v>42.351745726592767</v>
      </c>
      <c r="O630" s="1" t="s">
        <v>28</v>
      </c>
      <c r="P630" s="1">
        <f>2*H615</f>
        <v>5440</v>
      </c>
      <c r="Q630" s="1">
        <f t="shared" ref="Q630:Q632" si="66">(K624*(1-P624)*(1-U624)*(1-Z624))+(P624*(1-K624)*(1-U624)*(1-Z624))+(U624*(1-K624)*(1-P624)*(1-Z624))+(Z624*(1-K624)*(1-P624)*(1-U624))</f>
        <v>0.47791608162662924</v>
      </c>
      <c r="R630" s="1">
        <f t="shared" ref="R630:R632" si="67">Q630*(L$7*(J$5*K$5+L$5)+I$5)</f>
        <v>16844.152296930548</v>
      </c>
    </row>
    <row r="631" spans="1:34" ht="24.75" x14ac:dyDescent="0.25">
      <c r="A631" s="1"/>
      <c r="B631" s="1"/>
      <c r="C631" s="1"/>
      <c r="D631" s="62" t="s">
        <v>52</v>
      </c>
      <c r="E631" s="1">
        <f>AB623*AB624</f>
        <v>0.99854456496383481</v>
      </c>
      <c r="F631" s="59">
        <f>MAX(AC624-F624,0)</f>
        <v>6.6666666666666856</v>
      </c>
      <c r="G631" s="62" t="s">
        <v>56</v>
      </c>
      <c r="H631" s="1">
        <f>AA623*AB624*AB625+AA624*AB623*AB625*+AA625*AB623*AB624</f>
        <v>3.2353579870519122E-5</v>
      </c>
      <c r="I631" s="1">
        <f>AC625+1*L616-F625</f>
        <v>115.66666666666669</v>
      </c>
      <c r="J631" s="62" t="s">
        <v>60</v>
      </c>
      <c r="K631" s="1">
        <f>AA623*AA624*AB625*AB626 + AA623*AA625*AB624*AB626 + AA623*AA626*AB624*AB625 + AA624*AA625*AB623*AB626 + AA624*AA626*AB623*AB625 + AA625*AA626*AB623*AB624</f>
        <v>8.8799708590905435E-6</v>
      </c>
      <c r="L631" s="1">
        <f>AC626+2*L616-F626</f>
        <v>192.33333333333337</v>
      </c>
      <c r="M631" s="1">
        <f>B631*C631*AH623+E631*F631*AH624+H631*I631*AH625+K631*L631*AH626</f>
        <v>566.36799579187448</v>
      </c>
      <c r="O631" s="1" t="s">
        <v>29</v>
      </c>
      <c r="P631" s="1">
        <f>2*(F616*(J614*K614+L614)+H616)</f>
        <v>28200</v>
      </c>
      <c r="Q631" s="1">
        <f t="shared" si="66"/>
        <v>0.47082568994438934</v>
      </c>
      <c r="R631" s="1">
        <f t="shared" si="67"/>
        <v>16594.251442090001</v>
      </c>
    </row>
    <row r="632" spans="1:34" ht="24.75" x14ac:dyDescent="0.25">
      <c r="A632" s="1"/>
      <c r="B632" s="1"/>
      <c r="C632" s="1"/>
      <c r="D632" s="1"/>
      <c r="E632" s="1"/>
      <c r="F632" s="1"/>
      <c r="G632" s="62" t="s">
        <v>52</v>
      </c>
      <c r="H632" s="1">
        <f>AB623*AB624*AB625</f>
        <v>0.99644161722564717</v>
      </c>
      <c r="I632" s="63">
        <f>AC625-F625</f>
        <v>103.66666666666669</v>
      </c>
      <c r="J632" s="62" t="s">
        <v>56</v>
      </c>
      <c r="K632" s="1">
        <f>AA623*AB624*AB625*AB626+AA624*AB623*AB625*AB626+AA625*AB623*AB624*AB626+AA626*AB623*AB624*AB625</f>
        <v>5.1689091691145385E-3</v>
      </c>
      <c r="L632" s="1">
        <f>AC626+1*L616-F626</f>
        <v>180.33333333333337</v>
      </c>
      <c r="M632" s="1">
        <f>B632*C632*AH623+E632*F632*AH624+H632*I632*AH625+K632*L632*AH626</f>
        <v>11425.208391980765</v>
      </c>
      <c r="O632" s="1" t="s">
        <v>30</v>
      </c>
      <c r="P632" s="1">
        <v>0</v>
      </c>
      <c r="Q632" s="1">
        <f t="shared" si="66"/>
        <v>0.46894019786346708</v>
      </c>
      <c r="R632" s="1">
        <f t="shared" si="67"/>
        <v>16527.797273697895</v>
      </c>
    </row>
    <row r="633" spans="1:34" ht="30" x14ac:dyDescent="0.25">
      <c r="I633" s="84"/>
      <c r="J633" s="62" t="s">
        <v>52</v>
      </c>
      <c r="K633" s="85">
        <f>AB623*AB624*AB625*AB626</f>
        <v>0.99482220572204805</v>
      </c>
      <c r="L633" s="1">
        <f>AC626+0*L616-F626</f>
        <v>168.33333333333337</v>
      </c>
      <c r="M633" s="1">
        <f>B633*C633*AH623+E633*F633*AH624+H633*I633*AH625+K633*L633*AH626</f>
        <v>11219.936443535167</v>
      </c>
      <c r="O633" s="64" t="s">
        <v>65</v>
      </c>
      <c r="P633" s="65">
        <f>SUM(P629:P632)</f>
        <v>35460</v>
      </c>
      <c r="Q633" s="96" t="s">
        <v>108</v>
      </c>
      <c r="R633" s="97">
        <f>SUM(R629:R632)</f>
        <v>61323.398696203003</v>
      </c>
    </row>
    <row r="634" spans="1:34" x14ac:dyDescent="0.25">
      <c r="L634" s="176" t="s">
        <v>63</v>
      </c>
      <c r="M634" s="177">
        <f>SUM(M629:M633)</f>
        <v>23253.880009793818</v>
      </c>
    </row>
    <row r="635" spans="1:34" x14ac:dyDescent="0.25">
      <c r="L635" s="176"/>
      <c r="M635" s="177"/>
    </row>
    <row r="636" spans="1:34" x14ac:dyDescent="0.25">
      <c r="A636" s="178" t="s">
        <v>90</v>
      </c>
      <c r="B636" s="178"/>
      <c r="C636" s="178"/>
      <c r="D636" s="178"/>
      <c r="E636" s="178"/>
      <c r="F636" s="178"/>
      <c r="G636" s="178"/>
      <c r="H636" s="178"/>
      <c r="I636" s="178"/>
      <c r="J636" s="178"/>
      <c r="K636" s="178"/>
      <c r="L636" s="178"/>
      <c r="M636" s="178"/>
      <c r="N636" s="178"/>
    </row>
    <row r="637" spans="1:34" ht="15.75" x14ac:dyDescent="0.25">
      <c r="A637" s="87" t="s">
        <v>75</v>
      </c>
      <c r="B637" s="62" t="s">
        <v>49</v>
      </c>
      <c r="C637" s="90" t="s">
        <v>87</v>
      </c>
      <c r="D637" s="62" t="s">
        <v>88</v>
      </c>
      <c r="E637" s="87" t="s">
        <v>86</v>
      </c>
      <c r="F637" s="62" t="s">
        <v>57</v>
      </c>
      <c r="G637" s="90" t="s">
        <v>103</v>
      </c>
      <c r="H637" s="62" t="s">
        <v>88</v>
      </c>
      <c r="I637" s="87" t="s">
        <v>77</v>
      </c>
      <c r="J637" s="62" t="s">
        <v>61</v>
      </c>
      <c r="K637" s="90" t="s">
        <v>78</v>
      </c>
      <c r="L637" s="62" t="s">
        <v>88</v>
      </c>
      <c r="M637" s="87" t="s">
        <v>76</v>
      </c>
      <c r="N637" s="62" t="s">
        <v>84</v>
      </c>
      <c r="O637" s="90" t="s">
        <v>102</v>
      </c>
      <c r="P637" s="62" t="s">
        <v>88</v>
      </c>
    </row>
    <row r="638" spans="1:34" ht="24.75" x14ac:dyDescent="0.25">
      <c r="A638" s="62" t="s">
        <v>51</v>
      </c>
      <c r="B638" s="86">
        <v>2.9465138194053318E-5</v>
      </c>
      <c r="C638" s="86">
        <f>AC623+1*L616</f>
        <v>89</v>
      </c>
      <c r="D638" s="86">
        <f>MAX(B638*1.5*((C638-F623)*500/2),0)</f>
        <v>0.14364254869600993</v>
      </c>
      <c r="E638" s="62" t="s">
        <v>55</v>
      </c>
      <c r="F638" s="86">
        <v>4.2017638159796044E-8</v>
      </c>
      <c r="G638" s="86">
        <f>AC624+2*L616</f>
        <v>170.66666666666669</v>
      </c>
      <c r="H638" s="86">
        <f>F638*1.5*((G638-F624)*500/2+(G638-F625)*500+(G638-F626)*500)</f>
        <v>4.905559255156189E-3</v>
      </c>
      <c r="I638" s="62" t="s">
        <v>59</v>
      </c>
      <c r="J638" s="86">
        <v>8.8489688124563148E-11</v>
      </c>
      <c r="K638" s="86">
        <f>AC625+3*L616</f>
        <v>245.66666666666669</v>
      </c>
      <c r="L638" s="86">
        <f>J638*1.5*((K638-G638)*500/2+(K638-G638)*500)</f>
        <v>7.4663174355100153E-6</v>
      </c>
      <c r="M638" s="62" t="s">
        <v>83</v>
      </c>
      <c r="N638" s="86">
        <v>1.4381296046004933E-13</v>
      </c>
      <c r="O638" s="86">
        <f>AC626+4*L616</f>
        <v>311.33333333333337</v>
      </c>
      <c r="P638" s="86">
        <f>N638*1.5*((O638-K638)*500/2)</f>
        <v>3.5413941513287159E-9</v>
      </c>
    </row>
    <row r="639" spans="1:34" ht="24.75" x14ac:dyDescent="0.25">
      <c r="A639" s="62" t="s">
        <v>52</v>
      </c>
      <c r="B639" s="86">
        <v>0.99997053486180598</v>
      </c>
      <c r="C639" s="88">
        <f>AC623</f>
        <v>77</v>
      </c>
      <c r="D639" s="86">
        <f>MAX(B639*1.5*((C639-F623)*500/2),0)</f>
        <v>374.98895057317725</v>
      </c>
      <c r="E639" s="62" t="s">
        <v>56</v>
      </c>
      <c r="F639" s="86">
        <v>1.4553930185270787E-3</v>
      </c>
      <c r="G639" s="86">
        <f>AC624+1*L616</f>
        <v>158.66666666666669</v>
      </c>
      <c r="H639" s="86">
        <f>F639*1.5*((G639-F624)*500/2+(G639-F625)*500+(G639-F626)*500)</f>
        <v>137.17079199617723</v>
      </c>
      <c r="I639" s="62" t="s">
        <v>60</v>
      </c>
      <c r="J639" s="86">
        <v>3.1070056246491433E-6</v>
      </c>
      <c r="K639" s="86">
        <f>AC625+2*L616</f>
        <v>233.66666666666669</v>
      </c>
      <c r="L639" s="86">
        <f>J639*1.5*((K639-G639)*500/2+(K639-G639)*500)</f>
        <v>0.26215359957977147</v>
      </c>
      <c r="M639" s="62" t="s">
        <v>59</v>
      </c>
      <c r="N639" s="86">
        <v>4.9689855668700492E-9</v>
      </c>
      <c r="O639" s="86">
        <f>AC626+3*L616</f>
        <v>299.33333333333337</v>
      </c>
      <c r="P639" s="86">
        <f>N639*1.5*((O639-K639)*500/2)</f>
        <v>1.22361269584175E-4</v>
      </c>
    </row>
    <row r="640" spans="1:34" x14ac:dyDescent="0.25">
      <c r="A640" s="86"/>
      <c r="B640" s="86"/>
      <c r="C640" s="89" t="s">
        <v>89</v>
      </c>
      <c r="D640" s="89">
        <f>SUM(D638:D639)</f>
        <v>375.13259312187324</v>
      </c>
      <c r="E640" s="62" t="s">
        <v>52</v>
      </c>
      <c r="F640" s="86">
        <v>0.99854456496383481</v>
      </c>
      <c r="G640" s="86">
        <f>AC624+0*L616</f>
        <v>146.66666666666669</v>
      </c>
      <c r="H640" s="86">
        <f>F640*1.5*((G640-F624)*500/2+(G640-F625)*500+(G640-F626)*500)</f>
        <v>71645.572536155189</v>
      </c>
      <c r="I640" s="62" t="s">
        <v>56</v>
      </c>
      <c r="J640" s="86">
        <v>3.2353579870519122E-5</v>
      </c>
      <c r="K640" s="86">
        <f>AC625+1*L616</f>
        <v>221.66666666666669</v>
      </c>
      <c r="L640" s="86">
        <f>J640*1.5*((K640-G640)*500/2+(K640-G640)*500)</f>
        <v>2.7298333015750509</v>
      </c>
      <c r="M640" s="62" t="s">
        <v>60</v>
      </c>
      <c r="N640" s="86">
        <v>8.8799708590905435E-6</v>
      </c>
      <c r="O640" s="86">
        <f>AC626+2*L616</f>
        <v>287.33333333333337</v>
      </c>
      <c r="P640" s="86">
        <f>N640*1.5*((O640-K640)*500/2)</f>
        <v>0.21866928240510469</v>
      </c>
    </row>
    <row r="641" spans="1:22" x14ac:dyDescent="0.25">
      <c r="A641" s="86"/>
      <c r="B641" s="86"/>
      <c r="C641" s="86"/>
      <c r="D641" s="86"/>
      <c r="E641" s="86"/>
      <c r="F641" s="86"/>
      <c r="G641" s="89" t="s">
        <v>79</v>
      </c>
      <c r="H641" s="89">
        <f>SUM(H638:H640)</f>
        <v>71782.748233710619</v>
      </c>
      <c r="I641" s="62" t="s">
        <v>52</v>
      </c>
      <c r="J641" s="86">
        <v>0.99644161722564717</v>
      </c>
      <c r="K641" s="86">
        <f>AC625+0*L616</f>
        <v>209.66666666666669</v>
      </c>
      <c r="L641" s="86">
        <f>J641*1.5*((K641-F640)*500/2+(K641-G640)*500)</f>
        <v>125053.96680783416</v>
      </c>
      <c r="M641" s="62" t="s">
        <v>56</v>
      </c>
      <c r="N641" s="86">
        <v>5.1689091691145385E-3</v>
      </c>
      <c r="O641" s="86">
        <f>AC626+1*L616</f>
        <v>275.33333333333337</v>
      </c>
      <c r="P641" s="86">
        <f>N641*1.5*((O641-K641)*500/2)</f>
        <v>127.28438828944556</v>
      </c>
    </row>
    <row r="642" spans="1:22" x14ac:dyDescent="0.25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9" t="s">
        <v>79</v>
      </c>
      <c r="L642" s="89">
        <f>SUM(L638:L641)</f>
        <v>125056.95880220164</v>
      </c>
      <c r="M642" s="62" t="s">
        <v>52</v>
      </c>
      <c r="N642" s="86">
        <v>0.99482220572204805</v>
      </c>
      <c r="O642" s="86">
        <f>AC626+0*L616</f>
        <v>263.33333333333337</v>
      </c>
      <c r="P642" s="86">
        <f>N642*1.5*((O642-K641)*500/2)</f>
        <v>20020.796890156224</v>
      </c>
      <c r="Q642" s="179" t="s">
        <v>80</v>
      </c>
      <c r="R642" s="179"/>
      <c r="S642" s="180">
        <f>D640+H641+L642+P643</f>
        <v>217363.13969912703</v>
      </c>
      <c r="T642" s="180"/>
    </row>
    <row r="643" spans="1:22" x14ac:dyDescent="0.25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9" t="s">
        <v>79</v>
      </c>
      <c r="P643" s="89">
        <f>SUM(P638:P642)</f>
        <v>20148.300070092886</v>
      </c>
      <c r="Q643" s="179"/>
      <c r="R643" s="179"/>
      <c r="S643" s="180"/>
      <c r="T643" s="180"/>
    </row>
    <row r="644" spans="1:22" x14ac:dyDescent="0.25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</row>
    <row r="645" spans="1:22" x14ac:dyDescent="0.25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</row>
    <row r="646" spans="1:22" x14ac:dyDescent="0.25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</row>
    <row r="647" spans="1:22" ht="24.75" thickBot="1" x14ac:dyDescent="0.3">
      <c r="O647" s="131" t="s">
        <v>81</v>
      </c>
      <c r="P647" s="131"/>
      <c r="Q647" s="131">
        <f>(R633+P633+M634+S642)/AC626</f>
        <v>1281.2674116650271</v>
      </c>
      <c r="R647" s="131"/>
    </row>
    <row r="648" spans="1:22" x14ac:dyDescent="0.25">
      <c r="A648" s="181" t="s">
        <v>122</v>
      </c>
      <c r="B648" s="182"/>
    </row>
    <row r="649" spans="1:22" ht="15.75" thickBot="1" x14ac:dyDescent="0.3">
      <c r="A649" s="183"/>
      <c r="B649" s="184"/>
    </row>
    <row r="650" spans="1:22" ht="21" x14ac:dyDescent="0.35">
      <c r="A650" s="185" t="s">
        <v>14</v>
      </c>
      <c r="B650" s="185"/>
      <c r="C650" s="165"/>
      <c r="D650" s="165"/>
      <c r="E650" s="165"/>
      <c r="F650" s="165"/>
      <c r="G650" s="165"/>
      <c r="H650" s="165"/>
      <c r="I650" s="165"/>
      <c r="J650" s="165"/>
      <c r="K650" s="165"/>
      <c r="L650" s="165"/>
      <c r="M650" s="165"/>
      <c r="O650" s="166" t="s">
        <v>72</v>
      </c>
      <c r="P650" s="166"/>
      <c r="Q650" s="166"/>
      <c r="R650" s="166"/>
      <c r="S650" s="166"/>
      <c r="T650" s="166"/>
      <c r="U650" s="166"/>
      <c r="V650" s="166"/>
    </row>
    <row r="651" spans="1:22" ht="36" x14ac:dyDescent="0.25">
      <c r="A651" s="4" t="s">
        <v>15</v>
      </c>
      <c r="B651" s="4" t="s">
        <v>16</v>
      </c>
      <c r="C651" s="4" t="s">
        <v>31</v>
      </c>
      <c r="D651" s="6" t="s">
        <v>17</v>
      </c>
      <c r="E651" s="6" t="s">
        <v>18</v>
      </c>
      <c r="F651" s="6" t="s">
        <v>19</v>
      </c>
      <c r="G651" s="6" t="s">
        <v>20</v>
      </c>
      <c r="H651" s="6" t="s">
        <v>21</v>
      </c>
      <c r="I651" s="6" t="s">
        <v>22</v>
      </c>
      <c r="J651" s="6" t="s">
        <v>23</v>
      </c>
      <c r="K651" s="6" t="s">
        <v>24</v>
      </c>
      <c r="L651" s="6" t="s">
        <v>25</v>
      </c>
      <c r="M651" s="6" t="s">
        <v>26</v>
      </c>
      <c r="N651" s="8"/>
      <c r="O651" s="167" t="s">
        <v>32</v>
      </c>
      <c r="P651" s="167" t="s">
        <v>35</v>
      </c>
      <c r="Q651" s="167" t="s">
        <v>66</v>
      </c>
      <c r="R651" s="99" t="s">
        <v>67</v>
      </c>
      <c r="S651" s="99" t="s">
        <v>68</v>
      </c>
      <c r="T651" s="167" t="s">
        <v>69</v>
      </c>
      <c r="U651" s="71" t="s">
        <v>33</v>
      </c>
      <c r="V651" s="99" t="s">
        <v>70</v>
      </c>
    </row>
    <row r="652" spans="1:22" x14ac:dyDescent="0.25">
      <c r="A652" s="3" t="s">
        <v>27</v>
      </c>
      <c r="B652" s="3">
        <v>0</v>
      </c>
      <c r="C652" s="3">
        <v>0.3</v>
      </c>
      <c r="D652" s="3">
        <v>243</v>
      </c>
      <c r="E652" s="3">
        <v>1.73</v>
      </c>
      <c r="F652" s="3">
        <v>5</v>
      </c>
      <c r="G652" s="169">
        <v>12</v>
      </c>
      <c r="H652" s="3">
        <v>1820</v>
      </c>
      <c r="I652" s="169">
        <v>19645</v>
      </c>
      <c r="J652" s="3">
        <v>20</v>
      </c>
      <c r="K652" s="3">
        <v>40</v>
      </c>
      <c r="L652" s="3">
        <v>500</v>
      </c>
      <c r="M652" s="3">
        <v>1000</v>
      </c>
      <c r="O652" s="168"/>
      <c r="P652" s="168"/>
      <c r="Q652" s="168"/>
      <c r="R652" s="72" t="s">
        <v>71</v>
      </c>
      <c r="S652" s="72" t="s">
        <v>71</v>
      </c>
      <c r="T652" s="168"/>
      <c r="U652" s="73">
        <v>500</v>
      </c>
      <c r="V652" s="3">
        <v>1.5</v>
      </c>
    </row>
    <row r="653" spans="1:22" x14ac:dyDescent="0.25">
      <c r="A653" s="3" t="s">
        <v>28</v>
      </c>
      <c r="B653" s="3">
        <v>0</v>
      </c>
      <c r="C653" s="3">
        <v>0.3</v>
      </c>
      <c r="D653" s="3">
        <v>254</v>
      </c>
      <c r="E653" s="3">
        <v>1.88</v>
      </c>
      <c r="F653" s="3">
        <v>3</v>
      </c>
      <c r="G653" s="170"/>
      <c r="H653" s="3">
        <v>2720</v>
      </c>
      <c r="I653" s="170"/>
      <c r="J653" s="5"/>
      <c r="K653" s="5"/>
      <c r="L653" s="5"/>
      <c r="M653" s="5"/>
      <c r="O653" s="74">
        <v>1</v>
      </c>
      <c r="P653" s="74">
        <v>106</v>
      </c>
      <c r="Q653" s="74">
        <v>110</v>
      </c>
      <c r="R653" s="74">
        <v>6</v>
      </c>
      <c r="S653" s="74">
        <v>5</v>
      </c>
      <c r="T653" s="74">
        <f>R653*$U$5/60+S653</f>
        <v>55</v>
      </c>
      <c r="U653" s="75"/>
    </row>
    <row r="654" spans="1:22" x14ac:dyDescent="0.25">
      <c r="A654" s="3" t="s">
        <v>29</v>
      </c>
      <c r="B654" s="3">
        <v>0</v>
      </c>
      <c r="C654" s="3">
        <v>0.3</v>
      </c>
      <c r="D654" s="3">
        <v>143</v>
      </c>
      <c r="E654" s="3">
        <v>2.4300000000000002</v>
      </c>
      <c r="F654" s="3">
        <v>8</v>
      </c>
      <c r="G654" s="170"/>
      <c r="H654" s="3">
        <v>3700</v>
      </c>
      <c r="I654" s="170"/>
      <c r="J654" s="5"/>
      <c r="K654" s="140" t="s">
        <v>73</v>
      </c>
      <c r="L654" s="141">
        <v>12</v>
      </c>
      <c r="M654" s="140" t="s">
        <v>74</v>
      </c>
      <c r="N654" s="141">
        <v>19645</v>
      </c>
      <c r="O654" s="74">
        <v>2</v>
      </c>
      <c r="P654" s="74">
        <v>76</v>
      </c>
      <c r="Q654" s="74">
        <v>40</v>
      </c>
      <c r="R654" s="74">
        <v>9</v>
      </c>
      <c r="S654" s="74">
        <v>2</v>
      </c>
      <c r="T654" s="74">
        <f t="shared" ref="T654:T656" si="68">R654*$U$5/60+S654</f>
        <v>77</v>
      </c>
      <c r="U654" s="75"/>
    </row>
    <row r="655" spans="1:22" x14ac:dyDescent="0.25">
      <c r="A655" s="3" t="s">
        <v>30</v>
      </c>
      <c r="B655" s="3">
        <v>0</v>
      </c>
      <c r="C655" s="3">
        <v>0.3</v>
      </c>
      <c r="D655" s="3">
        <v>449</v>
      </c>
      <c r="E655" s="3">
        <v>2.5299999999999998</v>
      </c>
      <c r="F655" s="3">
        <v>4</v>
      </c>
      <c r="G655" s="171"/>
      <c r="H655" s="3">
        <v>4320</v>
      </c>
      <c r="I655" s="171"/>
      <c r="J655" s="5"/>
      <c r="K655" s="140"/>
      <c r="L655" s="141"/>
      <c r="M655" s="140"/>
      <c r="N655" s="141"/>
      <c r="O655" s="74">
        <v>3</v>
      </c>
      <c r="P655" s="74">
        <v>95</v>
      </c>
      <c r="Q655" s="74">
        <v>67</v>
      </c>
      <c r="R655" s="74">
        <v>5</v>
      </c>
      <c r="S655" s="74">
        <v>4</v>
      </c>
      <c r="T655" s="74">
        <f t="shared" si="68"/>
        <v>45.666666666666664</v>
      </c>
      <c r="U655" s="75"/>
    </row>
    <row r="656" spans="1:22" ht="15.75" thickBo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O656" s="74">
        <v>4</v>
      </c>
      <c r="P656" s="74">
        <v>140</v>
      </c>
      <c r="Q656" s="94">
        <v>85</v>
      </c>
      <c r="R656" s="94">
        <v>8</v>
      </c>
      <c r="S656" s="94">
        <v>3</v>
      </c>
      <c r="T656" s="74">
        <f t="shared" si="68"/>
        <v>69.666666666666671</v>
      </c>
    </row>
    <row r="657" spans="1:34" ht="15" customHeight="1" x14ac:dyDescent="0.25">
      <c r="A657" s="142" t="s">
        <v>101</v>
      </c>
      <c r="B657" s="144" t="s">
        <v>107</v>
      </c>
      <c r="C657" s="144"/>
      <c r="D657" s="144"/>
      <c r="E657" s="144"/>
      <c r="F657" s="20" t="s">
        <v>27</v>
      </c>
      <c r="G657" s="20" t="s">
        <v>28</v>
      </c>
      <c r="H657" s="20" t="s">
        <v>29</v>
      </c>
      <c r="I657" s="20" t="s">
        <v>30</v>
      </c>
    </row>
    <row r="658" spans="1:34" ht="15.75" customHeight="1" thickBot="1" x14ac:dyDescent="0.3">
      <c r="A658" s="143"/>
      <c r="B658" s="145"/>
      <c r="C658" s="145"/>
      <c r="D658" s="145"/>
      <c r="E658" s="145"/>
      <c r="F658" s="20">
        <v>168</v>
      </c>
      <c r="G658" s="26">
        <v>84</v>
      </c>
      <c r="H658" s="26">
        <v>84</v>
      </c>
      <c r="I658" s="26">
        <v>252</v>
      </c>
    </row>
    <row r="659" spans="1:34" ht="15.75" customHeight="1" thickBot="1" x14ac:dyDescent="0.3">
      <c r="A659" s="143"/>
      <c r="B659" s="145"/>
      <c r="C659" s="145"/>
      <c r="D659" s="145"/>
      <c r="E659" s="145"/>
      <c r="F659" s="7"/>
      <c r="G659" s="146" t="s">
        <v>27</v>
      </c>
      <c r="H659" s="147"/>
      <c r="I659" s="147"/>
      <c r="J659" s="147"/>
      <c r="K659" s="148"/>
      <c r="L659" s="149" t="s">
        <v>28</v>
      </c>
      <c r="M659" s="150"/>
      <c r="N659" s="150"/>
      <c r="O659" s="150"/>
      <c r="P659" s="151"/>
      <c r="Q659" s="152" t="s">
        <v>29</v>
      </c>
      <c r="R659" s="153"/>
      <c r="S659" s="153"/>
      <c r="T659" s="153"/>
      <c r="U659" s="154"/>
      <c r="V659" s="155" t="s">
        <v>30</v>
      </c>
      <c r="W659" s="156"/>
      <c r="X659" s="156"/>
      <c r="Y659" s="156"/>
      <c r="Z659" s="157"/>
      <c r="AA659" s="158" t="s">
        <v>42</v>
      </c>
      <c r="AB659" s="159"/>
      <c r="AC659" s="160" t="s">
        <v>44</v>
      </c>
      <c r="AD659" s="162" t="s">
        <v>47</v>
      </c>
      <c r="AE659" s="163"/>
      <c r="AF659" s="163"/>
      <c r="AG659" s="164"/>
      <c r="AH659" s="138" t="s">
        <v>62</v>
      </c>
    </row>
    <row r="660" spans="1:34" ht="36.75" x14ac:dyDescent="0.25">
      <c r="A660" s="21" t="s">
        <v>32</v>
      </c>
      <c r="B660" s="22" t="s">
        <v>37</v>
      </c>
      <c r="C660" s="23" t="s">
        <v>33</v>
      </c>
      <c r="D660" s="22" t="s">
        <v>38</v>
      </c>
      <c r="E660" s="22" t="s">
        <v>34</v>
      </c>
      <c r="F660" s="25" t="s">
        <v>35</v>
      </c>
      <c r="G660" s="27" t="s">
        <v>39</v>
      </c>
      <c r="H660" s="10" t="s">
        <v>40</v>
      </c>
      <c r="I660" s="10" t="s">
        <v>45</v>
      </c>
      <c r="J660" s="10" t="s">
        <v>46</v>
      </c>
      <c r="K660" s="28" t="s">
        <v>41</v>
      </c>
      <c r="L660" s="30" t="s">
        <v>39</v>
      </c>
      <c r="M660" s="13" t="s">
        <v>40</v>
      </c>
      <c r="N660" s="13" t="s">
        <v>45</v>
      </c>
      <c r="O660" s="13" t="s">
        <v>46</v>
      </c>
      <c r="P660" s="31" t="s">
        <v>41</v>
      </c>
      <c r="Q660" s="33" t="s">
        <v>39</v>
      </c>
      <c r="R660" s="12" t="s">
        <v>40</v>
      </c>
      <c r="S660" s="12" t="s">
        <v>45</v>
      </c>
      <c r="T660" s="12" t="s">
        <v>46</v>
      </c>
      <c r="U660" s="34" t="s">
        <v>41</v>
      </c>
      <c r="V660" s="36" t="s">
        <v>39</v>
      </c>
      <c r="W660" s="11" t="s">
        <v>40</v>
      </c>
      <c r="X660" s="11" t="s">
        <v>45</v>
      </c>
      <c r="Y660" s="11" t="s">
        <v>46</v>
      </c>
      <c r="Z660" s="37" t="s">
        <v>41</v>
      </c>
      <c r="AA660" s="39" t="s">
        <v>41</v>
      </c>
      <c r="AB660" s="40" t="s">
        <v>43</v>
      </c>
      <c r="AC660" s="161"/>
      <c r="AD660" s="43" t="s">
        <v>27</v>
      </c>
      <c r="AE660" s="1" t="s">
        <v>28</v>
      </c>
      <c r="AF660" s="1" t="s">
        <v>29</v>
      </c>
      <c r="AG660" s="1" t="s">
        <v>30</v>
      </c>
      <c r="AH660" s="139"/>
    </row>
    <row r="661" spans="1:34" x14ac:dyDescent="0.25">
      <c r="A661" s="24">
        <v>2</v>
      </c>
      <c r="B661" s="9">
        <v>9</v>
      </c>
      <c r="C661" s="9">
        <v>500</v>
      </c>
      <c r="D661" s="9">
        <v>2</v>
      </c>
      <c r="E661" s="48">
        <f>B661*C661/60+D661</f>
        <v>77</v>
      </c>
      <c r="F661" s="100">
        <v>76</v>
      </c>
      <c r="G661" s="49">
        <f>B$5*(1-AD661*C$5)</f>
        <v>0</v>
      </c>
      <c r="H661" s="50">
        <f>G661+E661</f>
        <v>77</v>
      </c>
      <c r="I661" s="15">
        <f>(H661/D$5)^E$5</f>
        <v>0.13693992990275231</v>
      </c>
      <c r="J661" s="15">
        <f>(G661/D$5)^E$5</f>
        <v>0</v>
      </c>
      <c r="K661" s="29">
        <f>1-EXP(J661-I661)</f>
        <v>0.1279773929583623</v>
      </c>
      <c r="L661" s="51">
        <f>B$6*(1-AE661*C$6)</f>
        <v>0</v>
      </c>
      <c r="M661" s="52">
        <f>L661+E661</f>
        <v>77</v>
      </c>
      <c r="N661" s="17">
        <f>(M661/D$6)^E$6</f>
        <v>0.10605109964467559</v>
      </c>
      <c r="O661" s="17">
        <f>(L661/D$6)^E$6</f>
        <v>0</v>
      </c>
      <c r="P661" s="32">
        <f>1-EXP(O661-N661)</f>
        <v>0.10062131102974814</v>
      </c>
      <c r="Q661" s="53">
        <f>B$7*(1-AF661*C$7)</f>
        <v>0</v>
      </c>
      <c r="R661" s="54">
        <f>Q661+E661</f>
        <v>77</v>
      </c>
      <c r="S661" s="16">
        <f>(R661/D$7)^E$7</f>
        <v>0.2221804751105394</v>
      </c>
      <c r="T661" s="16">
        <f>(Q661/D$7)^E$7</f>
        <v>0</v>
      </c>
      <c r="U661" s="35">
        <f>1-EXP(T661-S661)</f>
        <v>0.19922916791162293</v>
      </c>
      <c r="V661" s="55">
        <f>B$8*(1-AG661*C$8)</f>
        <v>0</v>
      </c>
      <c r="W661" s="56">
        <f>V661+E661</f>
        <v>77</v>
      </c>
      <c r="X661" s="18">
        <f>(W661/D$8)^E$8</f>
        <v>1.1551497592884551E-2</v>
      </c>
      <c r="Y661" s="18">
        <f>(V661/D$8)^E$8</f>
        <v>0</v>
      </c>
      <c r="Z661" s="38">
        <f>1-EXP(Y661-X661)</f>
        <v>1.1485035204098715E-2</v>
      </c>
      <c r="AA661" s="41">
        <f>K661*P661*U661*Z661</f>
        <v>2.9465138194053318E-5</v>
      </c>
      <c r="AB661" s="42">
        <f>1-AA661</f>
        <v>0.99997053486180598</v>
      </c>
      <c r="AC661" s="47">
        <f>(AD661*F$5+AE661*F$6+AF661*F$7+AG661*F$8)+E661</f>
        <v>77</v>
      </c>
      <c r="AD661" s="43">
        <v>0</v>
      </c>
      <c r="AE661" s="1">
        <v>0</v>
      </c>
      <c r="AF661" s="1">
        <v>0</v>
      </c>
      <c r="AG661" s="1">
        <v>0</v>
      </c>
      <c r="AH661" s="74">
        <v>40</v>
      </c>
    </row>
    <row r="662" spans="1:34" x14ac:dyDescent="0.25">
      <c r="A662" s="76">
        <v>4</v>
      </c>
      <c r="B662" s="58">
        <v>8</v>
      </c>
      <c r="C662" s="9">
        <v>500</v>
      </c>
      <c r="D662" s="58">
        <v>3</v>
      </c>
      <c r="E662" s="48">
        <f t="shared" ref="E662:E664" si="69">B662*C662/60+D662</f>
        <v>69.666666666666671</v>
      </c>
      <c r="F662" s="100">
        <v>140</v>
      </c>
      <c r="G662" s="49">
        <f>H661*(1-AD662*C$5)</f>
        <v>77</v>
      </c>
      <c r="H662" s="50">
        <f>G662+E662</f>
        <v>146.66666666666669</v>
      </c>
      <c r="I662" s="15">
        <f>(H662/D$5)^E$5</f>
        <v>0.41749810283193062</v>
      </c>
      <c r="J662" s="15">
        <f>(G662/D$5)^E$5</f>
        <v>0.13693992990275231</v>
      </c>
      <c r="K662" s="29">
        <f>1-EXP(J662-I662)</f>
        <v>0.24463799885610593</v>
      </c>
      <c r="L662" s="51">
        <f>M661*(1-AE662*C$6)</f>
        <v>77</v>
      </c>
      <c r="M662" s="52">
        <f>L662+E662</f>
        <v>146.66666666666669</v>
      </c>
      <c r="N662" s="17">
        <f>(M662/D$6)^E$6</f>
        <v>0.35613584348340649</v>
      </c>
      <c r="O662" s="17">
        <f>(L662/D$6)^E$6</f>
        <v>0.10605109964467559</v>
      </c>
      <c r="P662" s="32">
        <f>1-EXP(O662-N662)</f>
        <v>0.2212652127001522</v>
      </c>
      <c r="Q662" s="53">
        <f>R661*(1-AF662*C$7)</f>
        <v>77</v>
      </c>
      <c r="R662" s="54">
        <f>Q662+E662</f>
        <v>146.66666666666669</v>
      </c>
      <c r="S662" s="16">
        <f>(R662/D$7)^E$7</f>
        <v>1.0634541830073496</v>
      </c>
      <c r="T662" s="16">
        <f>(Q662/D$7)^E$7</f>
        <v>0.2221804751105394</v>
      </c>
      <c r="U662" s="35">
        <f>1-EXP(T662-S662)</f>
        <v>0.56883899963352347</v>
      </c>
      <c r="V662" s="55">
        <f>W661*(1-AG662*C$8)</f>
        <v>77</v>
      </c>
      <c r="W662" s="56">
        <f>V662+E662</f>
        <v>146.66666666666669</v>
      </c>
      <c r="X662" s="18">
        <f>(W662/D$8)^E$8</f>
        <v>5.897056032024859E-2</v>
      </c>
      <c r="Y662" s="18">
        <f>(V662/D$8)^E$8</f>
        <v>1.1551497592884551E-2</v>
      </c>
      <c r="Z662" s="38">
        <f>1-EXP(Y662-X662)</f>
        <v>4.631234111296112E-2</v>
      </c>
      <c r="AA662" s="41">
        <f>K662*P662*U662*Z662</f>
        <v>1.4260119156093449E-3</v>
      </c>
      <c r="AB662" s="42">
        <f>1-AA662</f>
        <v>0.99857398808439068</v>
      </c>
      <c r="AC662" s="47">
        <f>AF662*F$7+E662+AC661</f>
        <v>146.66666666666669</v>
      </c>
      <c r="AD662" s="43">
        <v>0</v>
      </c>
      <c r="AE662" s="1">
        <v>0</v>
      </c>
      <c r="AF662" s="1">
        <v>0</v>
      </c>
      <c r="AG662" s="1">
        <v>0</v>
      </c>
      <c r="AH662" s="74">
        <v>85</v>
      </c>
    </row>
    <row r="663" spans="1:34" x14ac:dyDescent="0.25">
      <c r="A663" s="24">
        <v>3</v>
      </c>
      <c r="B663" s="9">
        <v>5</v>
      </c>
      <c r="C663" s="58">
        <v>500</v>
      </c>
      <c r="D663" s="58">
        <v>4</v>
      </c>
      <c r="E663" s="48">
        <f t="shared" si="69"/>
        <v>45.666666666666664</v>
      </c>
      <c r="F663" s="100">
        <v>95</v>
      </c>
      <c r="G663" s="68">
        <f>H662*(1-AD663*C$5)</f>
        <v>146.66666666666669</v>
      </c>
      <c r="H663" s="69">
        <f>G663+E663</f>
        <v>192.33333333333334</v>
      </c>
      <c r="I663" s="70">
        <f>(H663/D$5)^E$5</f>
        <v>0.66729140773810391</v>
      </c>
      <c r="J663" s="70">
        <f>(G663/D$5)^E$5</f>
        <v>0.41749810283193062</v>
      </c>
      <c r="K663" s="29">
        <f>1-EXP(J663-I663)</f>
        <v>0.22103822599022049</v>
      </c>
      <c r="L663" s="51">
        <f>M662*(1-AE663*C$6)</f>
        <v>102.66666666666667</v>
      </c>
      <c r="M663" s="52">
        <f>L663+E663</f>
        <v>148.33333333333334</v>
      </c>
      <c r="N663" s="17">
        <f>(M663/D$6)^E$6</f>
        <v>0.36378222468595994</v>
      </c>
      <c r="O663" s="17">
        <f>(L663/D$6)^E$6</f>
        <v>0.18213776408892768</v>
      </c>
      <c r="P663" s="32">
        <f>1-EXP(O663-N663)</f>
        <v>0.16610222876808511</v>
      </c>
      <c r="Q663" s="53">
        <f>R662*(1-AF663*C$7)</f>
        <v>102.66666666666667</v>
      </c>
      <c r="R663" s="54">
        <f>Q663+E663</f>
        <v>148.33333333333334</v>
      </c>
      <c r="S663" s="16">
        <f>(R663/D$7)^E$7</f>
        <v>1.0930590055302554</v>
      </c>
      <c r="T663" s="16">
        <f>(Q663/D$7)^E$7</f>
        <v>0.44699948326797367</v>
      </c>
      <c r="U663" s="35">
        <f>1-EXP(T663-S663)</f>
        <v>0.4758930551511471</v>
      </c>
      <c r="V663" s="55">
        <f>W662*(1-AG663*C$8)</f>
        <v>146.66666666666669</v>
      </c>
      <c r="W663" s="56">
        <f>V663+E663</f>
        <v>192.33333333333334</v>
      </c>
      <c r="X663" s="18">
        <f>(W663/D$8)^E$8</f>
        <v>0.11707786390726455</v>
      </c>
      <c r="Y663" s="18">
        <f>(V663/D$8)^E$8</f>
        <v>5.897056032024859E-2</v>
      </c>
      <c r="Z663" s="38">
        <f>1-EXP(Y663-X663)</f>
        <v>5.6451304155022197E-2</v>
      </c>
      <c r="AA663" s="41">
        <f>K663*P663*U663*Z663</f>
        <v>9.8633897123583721E-4</v>
      </c>
      <c r="AB663" s="42">
        <f>1-AA663</f>
        <v>0.99901366102876421</v>
      </c>
      <c r="AC663" s="47">
        <f>(AF663*F$7)+E663+AC662</f>
        <v>200.33333333333334</v>
      </c>
      <c r="AD663" s="77">
        <v>0</v>
      </c>
      <c r="AE663" s="78">
        <v>1</v>
      </c>
      <c r="AF663" s="78">
        <v>1</v>
      </c>
      <c r="AG663" s="78">
        <v>0</v>
      </c>
      <c r="AH663" s="74">
        <v>67</v>
      </c>
    </row>
    <row r="664" spans="1:34" ht="15.75" thickBot="1" x14ac:dyDescent="0.3">
      <c r="A664" s="57">
        <v>1</v>
      </c>
      <c r="B664" s="58">
        <v>6</v>
      </c>
      <c r="C664" s="58">
        <v>500</v>
      </c>
      <c r="D664" s="9">
        <v>5</v>
      </c>
      <c r="E664" s="48">
        <f t="shared" si="69"/>
        <v>55</v>
      </c>
      <c r="F664" s="100">
        <v>106</v>
      </c>
      <c r="G664" s="68">
        <f>H663*(1-AD664*C$5)</f>
        <v>134.63333333333333</v>
      </c>
      <c r="H664" s="69">
        <f>G664+E664</f>
        <v>189.63333333333333</v>
      </c>
      <c r="I664" s="70">
        <f>(H664/D$5)^E$5</f>
        <v>0.65116873667608721</v>
      </c>
      <c r="J664" s="70">
        <f>(G664/D$5)^E$5</f>
        <v>0.36002705832955134</v>
      </c>
      <c r="K664" s="29">
        <f>1-EXP(J664-I664)</f>
        <v>0.25259022126518538</v>
      </c>
      <c r="L664" s="51">
        <f>M663*(1-AE664*C$6)</f>
        <v>103.83333333333333</v>
      </c>
      <c r="M664" s="52">
        <f>L664+E664</f>
        <v>158.83333333333331</v>
      </c>
      <c r="N664" s="17">
        <f>(M664/D$6)^E$6</f>
        <v>0.41369751790718035</v>
      </c>
      <c r="O664" s="17">
        <f>(L664/D$6)^E$6</f>
        <v>0.1860483358583474</v>
      </c>
      <c r="P664" s="32">
        <f>1-EXP(O664-N664)</f>
        <v>0.203596396486313</v>
      </c>
      <c r="Q664" s="53">
        <f>R663*(1-AF664*C$7)</f>
        <v>103.83333333333333</v>
      </c>
      <c r="R664" s="54">
        <f>Q664+E664</f>
        <v>158.83333333333331</v>
      </c>
      <c r="S664" s="16">
        <f>(R664/D$7)^E$7</f>
        <v>1.2906890901009902</v>
      </c>
      <c r="T664" s="16">
        <f>(Q664/D$7)^E$7</f>
        <v>0.45944321669949417</v>
      </c>
      <c r="U664" s="35">
        <f>1-EXP(T664-S664)</f>
        <v>0.56449363760856475</v>
      </c>
      <c r="V664" s="55">
        <f>W663*(1-AG664*C$8)</f>
        <v>192.33333333333334</v>
      </c>
      <c r="W664" s="56">
        <f>V664+E664</f>
        <v>247.33333333333334</v>
      </c>
      <c r="X664" s="18">
        <f>(W664/D$8)^E$8</f>
        <v>0.22121871391987213</v>
      </c>
      <c r="Y664" s="18">
        <f>(V664/D$8)^E$8</f>
        <v>0.11707786390726455</v>
      </c>
      <c r="Z664" s="38">
        <f>1-EXP(Y664-X664)</f>
        <v>9.8901631234138088E-2</v>
      </c>
      <c r="AA664" s="41">
        <f>K664*P664*U664*Z664</f>
        <v>2.8711053367159642E-3</v>
      </c>
      <c r="AB664" s="42">
        <f>1-AA664</f>
        <v>0.99712889466328403</v>
      </c>
      <c r="AC664" s="47">
        <f>(AF664*F$7)+E664+AC663</f>
        <v>263.33333333333337</v>
      </c>
      <c r="AD664" s="80">
        <v>1</v>
      </c>
      <c r="AE664" s="45">
        <v>1</v>
      </c>
      <c r="AF664" s="81">
        <v>1</v>
      </c>
      <c r="AG664" s="45">
        <v>0</v>
      </c>
      <c r="AH664" s="94">
        <v>110</v>
      </c>
    </row>
    <row r="665" spans="1:34" ht="18.75" x14ac:dyDescent="0.3">
      <c r="A665" s="132" t="s">
        <v>53</v>
      </c>
      <c r="B665" s="132"/>
      <c r="C665" s="132"/>
      <c r="D665" s="132"/>
      <c r="E665" s="132"/>
      <c r="F665" s="132"/>
      <c r="G665" s="132"/>
      <c r="H665" s="132"/>
      <c r="I665" s="132"/>
      <c r="J665" s="132"/>
      <c r="AG665" s="46"/>
    </row>
    <row r="666" spans="1:34" ht="15.75" x14ac:dyDescent="0.25">
      <c r="A666" s="19" t="s">
        <v>48</v>
      </c>
      <c r="B666" s="60" t="s">
        <v>49</v>
      </c>
      <c r="C666" s="61" t="s">
        <v>50</v>
      </c>
      <c r="D666" s="19" t="s">
        <v>82</v>
      </c>
      <c r="E666" s="60" t="s">
        <v>57</v>
      </c>
      <c r="F666" s="61" t="s">
        <v>50</v>
      </c>
      <c r="G666" s="19" t="s">
        <v>58</v>
      </c>
      <c r="H666" s="60" t="s">
        <v>61</v>
      </c>
      <c r="I666" s="61" t="s">
        <v>50</v>
      </c>
      <c r="J666" s="19" t="s">
        <v>54</v>
      </c>
      <c r="K666" s="83" t="s">
        <v>84</v>
      </c>
      <c r="L666" s="61" t="s">
        <v>50</v>
      </c>
      <c r="M666" s="61" t="s">
        <v>85</v>
      </c>
      <c r="O666" s="174" t="s">
        <v>64</v>
      </c>
      <c r="P666" s="174"/>
      <c r="Q666" s="175" t="s">
        <v>109</v>
      </c>
      <c r="R666" s="175"/>
    </row>
    <row r="667" spans="1:34" ht="24.75" x14ac:dyDescent="0.25">
      <c r="A667" s="61" t="s">
        <v>51</v>
      </c>
      <c r="B667" s="1">
        <f>AA661</f>
        <v>2.9465138194053318E-5</v>
      </c>
      <c r="C667" s="59">
        <f>MAX(AC661+1*L654-F661,0)</f>
        <v>13</v>
      </c>
      <c r="D667" s="62" t="s">
        <v>55</v>
      </c>
      <c r="E667" s="1">
        <f>AA661*AA662</f>
        <v>4.2017638159796044E-8</v>
      </c>
      <c r="F667" s="1">
        <f>MAX(AC662+2*L654-F662,0)</f>
        <v>30.666666666666686</v>
      </c>
      <c r="G667" s="62" t="s">
        <v>59</v>
      </c>
      <c r="H667" s="1">
        <f>AA661*AA662*AA663</f>
        <v>4.1443633996292885E-11</v>
      </c>
      <c r="I667" s="1">
        <f>AC663+3*L654-F663</f>
        <v>141.33333333333334</v>
      </c>
      <c r="J667" s="62" t="s">
        <v>83</v>
      </c>
      <c r="K667" s="1">
        <f>AA661*AA662*AA663*AA664</f>
        <v>1.1898903873965968E-13</v>
      </c>
      <c r="L667" s="1">
        <f>AC664+4*L654-F664</f>
        <v>205.33333333333337</v>
      </c>
      <c r="M667" s="1">
        <f>B667*C667*AH661+E667*F667*AH662+H667*I667*AH663+K667*L667*AH664</f>
        <v>1.5431792968861536E-2</v>
      </c>
      <c r="O667" s="1" t="s">
        <v>27</v>
      </c>
      <c r="P667" s="1">
        <f>H652</f>
        <v>1820</v>
      </c>
      <c r="Q667" s="1">
        <f>(K661*(1-P661)*(1-U661)*(1-Z661))+(P661*(1-K661)*(1-U661)*(1-Z661))+(U661*(1-K661)*(1-P661)*(1-Z661))+(Z661*(1-K661)*(1-P661)*(1-U661))</f>
        <v>0.32223571239848364</v>
      </c>
      <c r="R667" s="1">
        <f>Q667*(L$7*(J$5*K$5+L$5)+I$5)</f>
        <v>11357.197683484555</v>
      </c>
    </row>
    <row r="668" spans="1:34" ht="24.75" x14ac:dyDescent="0.25">
      <c r="A668" s="62" t="s">
        <v>52</v>
      </c>
      <c r="B668" s="1">
        <f>AB661</f>
        <v>0.99997053486180598</v>
      </c>
      <c r="C668" s="59">
        <f>MAX(AC661-F661,0)</f>
        <v>1</v>
      </c>
      <c r="D668" s="62" t="s">
        <v>56</v>
      </c>
      <c r="E668" s="1">
        <f>AA661*AB662+AA662*AB661</f>
        <v>1.4553930185270787E-3</v>
      </c>
      <c r="F668" s="1">
        <f>MAX(AC662+1*L654-F662,0)</f>
        <v>18.666666666666686</v>
      </c>
      <c r="G668" s="62" t="s">
        <v>60</v>
      </c>
      <c r="H668" s="1">
        <f>AA661*AA662*AB663+AA662*AA663*AB661+AA661*AA663*AB662</f>
        <v>1.4774870471636183E-6</v>
      </c>
      <c r="I668" s="1">
        <f>AC663+2*L654-F663</f>
        <v>129.33333333333334</v>
      </c>
      <c r="J668" s="62" t="s">
        <v>59</v>
      </c>
      <c r="K668">
        <f>AB661*AA662*AA663*AA664+AB662*AA661*AA663*AA664*+AB663*AA661*AA662*AA664+AB664*AA661*AA662*AA663</f>
        <v>4.0795046775052816E-9</v>
      </c>
      <c r="L668" s="1">
        <f>AC664+3*L654-F664</f>
        <v>193.33333333333337</v>
      </c>
      <c r="M668" s="1">
        <f>B668*C668*AH661+E668*F668*AH662+H668*I668*AH663+K668*L668*AH664</f>
        <v>42.320934659094036</v>
      </c>
      <c r="O668" s="1" t="s">
        <v>28</v>
      </c>
      <c r="P668" s="1">
        <f>2*H653</f>
        <v>5440</v>
      </c>
      <c r="Q668" s="1">
        <f t="shared" ref="Q668:Q670" si="70">(K662*(1-P662)*(1-U662)*(1-Z662))+(P662*(1-K662)*(1-U662)*(1-Z662))+(U662*(1-K662)*(1-P662)*(1-Z662))+(Z662*(1-K662)*(1-P662)*(1-U662))</f>
        <v>0.47791608162662924</v>
      </c>
      <c r="R668" s="1">
        <f t="shared" ref="R668:R670" si="71">Q668*(L$7*(J$5*K$5+L$5)+I$5)</f>
        <v>16844.152296930548</v>
      </c>
    </row>
    <row r="669" spans="1:34" ht="24.75" x14ac:dyDescent="0.25">
      <c r="A669" s="1"/>
      <c r="B669" s="1"/>
      <c r="C669" s="1"/>
      <c r="D669" s="62" t="s">
        <v>52</v>
      </c>
      <c r="E669" s="1">
        <f>AB661*AB662</f>
        <v>0.99854456496383481</v>
      </c>
      <c r="F669" s="59">
        <f>MAX(AC662-F662,0)</f>
        <v>6.6666666666666856</v>
      </c>
      <c r="G669" s="62" t="s">
        <v>56</v>
      </c>
      <c r="H669" s="1">
        <f>AA661*AB662*AB663+AA662*AB661*AB663*+AA663*AB661*AB662</f>
        <v>3.0797156756753916E-5</v>
      </c>
      <c r="I669" s="1">
        <f>AC663+1*L654-F663</f>
        <v>117.33333333333334</v>
      </c>
      <c r="J669" s="62" t="s">
        <v>60</v>
      </c>
      <c r="K669" s="1">
        <f>AA661*AA662*AB663*AB664 + AA661*AA663*AB662*AB664 + AA661*AA664*AB662*AB663 + AA662*AA663*AB661*AB664 + AA662*AA664*AB661*AB663 + AA663*AA664*AB661*AB662</f>
        <v>8.4754716481270948E-6</v>
      </c>
      <c r="L669" s="1">
        <f>AC664+2*L654-F664</f>
        <v>181.33333333333337</v>
      </c>
      <c r="M669" s="1">
        <f>B669*C669*AH661+E669*F669*AH662+H669*I669*AH663+K669*L669*AH664</f>
        <v>566.25308426896629</v>
      </c>
      <c r="O669" s="1" t="s">
        <v>29</v>
      </c>
      <c r="P669" s="1">
        <f>2*(F654*(J652*K652+L652)+H654)</f>
        <v>28200</v>
      </c>
      <c r="Q669" s="1">
        <f t="shared" si="70"/>
        <v>0.46603224273418509</v>
      </c>
      <c r="R669" s="1">
        <f t="shared" si="71"/>
        <v>16425.306395166353</v>
      </c>
    </row>
    <row r="670" spans="1:34" ht="24.75" x14ac:dyDescent="0.25">
      <c r="A670" s="1"/>
      <c r="B670" s="1"/>
      <c r="C670" s="1"/>
      <c r="D670" s="1"/>
      <c r="E670" s="1"/>
      <c r="F670" s="1"/>
      <c r="G670" s="62" t="s">
        <v>52</v>
      </c>
      <c r="H670" s="1">
        <f>AB661*AB662*AB663</f>
        <v>0.99755966154489528</v>
      </c>
      <c r="I670" s="63">
        <f>AC663-F663</f>
        <v>105.33333333333334</v>
      </c>
      <c r="J670" s="62" t="s">
        <v>56</v>
      </c>
      <c r="K670" s="1">
        <f>AA661*AB662*AB663*AB664+AA662*AB661*AB663*AB664+AA663*AB661*AB662*AB664+AA664*AB661*AB662*AB663</f>
        <v>5.2959575679462165E-3</v>
      </c>
      <c r="L670" s="1">
        <f>AC664+1*L654-F664</f>
        <v>169.33333333333337</v>
      </c>
      <c r="M670" s="1">
        <f>B670*C670*AH661+E670*F670*AH662+H670*I670*AH663+K670*L670*AH664</f>
        <v>7138.7570877084536</v>
      </c>
      <c r="O670" s="1" t="s">
        <v>30</v>
      </c>
      <c r="P670" s="1">
        <v>0</v>
      </c>
      <c r="Q670" s="1">
        <f t="shared" si="70"/>
        <v>0.46707578053886467</v>
      </c>
      <c r="R670" s="1">
        <f t="shared" si="71"/>
        <v>16462.085885092285</v>
      </c>
    </row>
    <row r="671" spans="1:34" ht="30" x14ac:dyDescent="0.25">
      <c r="I671" s="84"/>
      <c r="J671" s="62" t="s">
        <v>52</v>
      </c>
      <c r="K671" s="85">
        <f>AB661*AB662*AB663*AB664</f>
        <v>0.99469556267694115</v>
      </c>
      <c r="L671" s="1">
        <f>AC664+0*L654-F664</f>
        <v>157.33333333333337</v>
      </c>
      <c r="M671" s="1">
        <f>B671*C671*AH661+E671*F671*AH662+H671*I671*AH663+K671*L671*AH664</f>
        <v>17214.864538062266</v>
      </c>
      <c r="O671" s="64" t="s">
        <v>65</v>
      </c>
      <c r="P671" s="65">
        <f>SUM(P667:P670)</f>
        <v>35460</v>
      </c>
      <c r="Q671" s="96" t="s">
        <v>108</v>
      </c>
      <c r="R671" s="97">
        <f>SUM(R667:R670)</f>
        <v>61088.742260673738</v>
      </c>
    </row>
    <row r="672" spans="1:34" x14ac:dyDescent="0.25">
      <c r="L672" s="176" t="s">
        <v>63</v>
      </c>
      <c r="M672" s="177">
        <f>SUM(M667:M671)</f>
        <v>24962.211076491749</v>
      </c>
    </row>
    <row r="673" spans="1:22" x14ac:dyDescent="0.25">
      <c r="L673" s="176"/>
      <c r="M673" s="177"/>
    </row>
    <row r="674" spans="1:22" x14ac:dyDescent="0.25">
      <c r="A674" s="178" t="s">
        <v>90</v>
      </c>
      <c r="B674" s="178"/>
      <c r="C674" s="178"/>
      <c r="D674" s="178"/>
      <c r="E674" s="178"/>
      <c r="F674" s="178"/>
      <c r="G674" s="178"/>
      <c r="H674" s="178"/>
      <c r="I674" s="178"/>
      <c r="J674" s="178"/>
      <c r="K674" s="178"/>
      <c r="L674" s="178"/>
      <c r="M674" s="178"/>
      <c r="N674" s="178"/>
    </row>
    <row r="675" spans="1:22" ht="15.75" x14ac:dyDescent="0.25">
      <c r="A675" s="87" t="s">
        <v>75</v>
      </c>
      <c r="B675" s="62" t="s">
        <v>49</v>
      </c>
      <c r="C675" s="90" t="s">
        <v>87</v>
      </c>
      <c r="D675" s="62" t="s">
        <v>88</v>
      </c>
      <c r="E675" s="87" t="s">
        <v>86</v>
      </c>
      <c r="F675" s="62" t="s">
        <v>57</v>
      </c>
      <c r="G675" s="90" t="s">
        <v>103</v>
      </c>
      <c r="H675" s="62" t="s">
        <v>88</v>
      </c>
      <c r="I675" s="87" t="s">
        <v>77</v>
      </c>
      <c r="J675" s="62" t="s">
        <v>61</v>
      </c>
      <c r="K675" s="90" t="s">
        <v>78</v>
      </c>
      <c r="L675" s="62" t="s">
        <v>88</v>
      </c>
      <c r="M675" s="87" t="s">
        <v>76</v>
      </c>
      <c r="N675" s="62" t="s">
        <v>84</v>
      </c>
      <c r="O675" s="90" t="s">
        <v>102</v>
      </c>
      <c r="P675" s="62" t="s">
        <v>88</v>
      </c>
    </row>
    <row r="676" spans="1:22" ht="24.75" x14ac:dyDescent="0.25">
      <c r="A676" s="62" t="s">
        <v>51</v>
      </c>
      <c r="B676" s="86">
        <v>2.9465138194053318E-5</v>
      </c>
      <c r="C676" s="86">
        <f>AC661+1*L654</f>
        <v>89</v>
      </c>
      <c r="D676" s="86">
        <f>MAX(B676*1.5*((C676-F661)*500/2),0)</f>
        <v>0.14364254869600993</v>
      </c>
      <c r="E676" s="62" t="s">
        <v>55</v>
      </c>
      <c r="F676" s="86">
        <v>4.2017638159796044E-8</v>
      </c>
      <c r="G676" s="86">
        <f>AC662+2*L654</f>
        <v>170.66666666666669</v>
      </c>
      <c r="H676" s="86">
        <f>F676*1.5*((G676-F662)*500/2+(G676-F663)*500+(G676-F664)*500)</f>
        <v>4.905559255156189E-3</v>
      </c>
      <c r="I676" s="62" t="s">
        <v>59</v>
      </c>
      <c r="J676" s="86">
        <v>4.1443633996292885E-11</v>
      </c>
      <c r="K676" s="86">
        <f>AC663+3*L654</f>
        <v>236.33333333333334</v>
      </c>
      <c r="L676" s="86">
        <f>J676*1.5*((K676-G676)*500/2+(K676-G676)*500)</f>
        <v>3.0616484614761362E-6</v>
      </c>
      <c r="M676" s="62" t="s">
        <v>83</v>
      </c>
      <c r="N676" s="86">
        <v>1.1898903873965968E-13</v>
      </c>
      <c r="O676" s="86">
        <f>AC664+4*L654</f>
        <v>311.33333333333337</v>
      </c>
      <c r="P676" s="86">
        <f>N676*1.5*((O676-K676)*500/2)</f>
        <v>3.3465667145529299E-9</v>
      </c>
    </row>
    <row r="677" spans="1:22" ht="24.75" x14ac:dyDescent="0.25">
      <c r="A677" s="62" t="s">
        <v>52</v>
      </c>
      <c r="B677" s="86">
        <v>0.99997053486180598</v>
      </c>
      <c r="C677" s="88">
        <f>AC661</f>
        <v>77</v>
      </c>
      <c r="D677" s="86">
        <f>MAX(B677*1.5*((C677-F661)*500/2),0)</f>
        <v>374.98895057317725</v>
      </c>
      <c r="E677" s="62" t="s">
        <v>56</v>
      </c>
      <c r="F677" s="86">
        <v>1.4553930185270787E-3</v>
      </c>
      <c r="G677" s="86">
        <f>AC662+1*L654</f>
        <v>158.66666666666669</v>
      </c>
      <c r="H677" s="86">
        <f>F677*1.5*((G677-F662)*500/2+(G677-F663)*500+(G677-F664)*500)</f>
        <v>137.17079199617723</v>
      </c>
      <c r="I677" s="62" t="s">
        <v>60</v>
      </c>
      <c r="J677" s="86">
        <v>1.4774870471636183E-6</v>
      </c>
      <c r="K677" s="86">
        <f>AC663+2*L654</f>
        <v>224.33333333333334</v>
      </c>
      <c r="L677" s="86">
        <f>J677*1.5*((K677-G677)*500/2+(K677-G677)*500)</f>
        <v>0.1091493556092123</v>
      </c>
      <c r="M677" s="62" t="s">
        <v>59</v>
      </c>
      <c r="N677" s="86">
        <v>4.0795046775052816E-9</v>
      </c>
      <c r="O677" s="86">
        <f>AC664+3*L654</f>
        <v>299.33333333333337</v>
      </c>
      <c r="P677" s="86">
        <f>N677*1.5*((O677-K677)*500/2)</f>
        <v>1.1473606905483609E-4</v>
      </c>
    </row>
    <row r="678" spans="1:22" x14ac:dyDescent="0.25">
      <c r="A678" s="86"/>
      <c r="B678" s="86"/>
      <c r="C678" s="89" t="s">
        <v>89</v>
      </c>
      <c r="D678" s="89">
        <f>SUM(D676:D677)</f>
        <v>375.13259312187324</v>
      </c>
      <c r="E678" s="62" t="s">
        <v>52</v>
      </c>
      <c r="F678" s="86">
        <v>0.99854456496383481</v>
      </c>
      <c r="G678" s="86">
        <f>AC662+0*L654</f>
        <v>146.66666666666669</v>
      </c>
      <c r="H678" s="86">
        <f>F678*1.5*((G678-F662)*500/2+(G678-F663)*500+(G678-F664)*500)</f>
        <v>71645.572536155189</v>
      </c>
      <c r="I678" s="62" t="s">
        <v>56</v>
      </c>
      <c r="J678" s="86">
        <v>3.0797156756753916E-5</v>
      </c>
      <c r="K678" s="86">
        <f>AC663+1*L654</f>
        <v>212.33333333333334</v>
      </c>
      <c r="L678" s="86">
        <f>J678*1.5*((K678-G678)*500/2+(K678-G678)*500)</f>
        <v>2.2751399554051952</v>
      </c>
      <c r="M678" s="62" t="s">
        <v>60</v>
      </c>
      <c r="N678" s="86">
        <v>8.4754716481270948E-6</v>
      </c>
      <c r="O678" s="86">
        <f>AC664+2*L654</f>
        <v>287.33333333333337</v>
      </c>
      <c r="P678" s="86">
        <f>N678*1.5*((O678-K678)*500/2)</f>
        <v>0.23837264010357465</v>
      </c>
    </row>
    <row r="679" spans="1:22" x14ac:dyDescent="0.25">
      <c r="A679" s="86"/>
      <c r="B679" s="86"/>
      <c r="C679" s="86"/>
      <c r="D679" s="86"/>
      <c r="E679" s="86"/>
      <c r="F679" s="86"/>
      <c r="G679" s="89" t="s">
        <v>79</v>
      </c>
      <c r="H679" s="89">
        <f>SUM(H676:H678)</f>
        <v>71782.748233710619</v>
      </c>
      <c r="I679" s="62" t="s">
        <v>52</v>
      </c>
      <c r="J679" s="86">
        <v>0.99755966154489528</v>
      </c>
      <c r="K679" s="86">
        <f>AC663+0*L654</f>
        <v>200.33333333333334</v>
      </c>
      <c r="L679" s="86">
        <f>J679*1.5*((K679-F678)*500/2+(K679-G678)*500)</f>
        <v>114719.90553389375</v>
      </c>
      <c r="M679" s="62" t="s">
        <v>56</v>
      </c>
      <c r="N679" s="86">
        <v>5.2959575679462165E-3</v>
      </c>
      <c r="O679" s="86">
        <f>AC664+1*L654</f>
        <v>275.33333333333337</v>
      </c>
      <c r="P679" s="86">
        <f>N679*1.5*((O679-K679)*500/2)</f>
        <v>148.94880659848741</v>
      </c>
    </row>
    <row r="680" spans="1:22" x14ac:dyDescent="0.25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9" t="s">
        <v>79</v>
      </c>
      <c r="L680" s="89">
        <f>SUM(L676:L679)</f>
        <v>114722.28982626641</v>
      </c>
      <c r="M680" s="62" t="s">
        <v>52</v>
      </c>
      <c r="N680" s="86">
        <v>0.99469556267694115</v>
      </c>
      <c r="O680" s="86">
        <f>AC664+0*L654</f>
        <v>263.33333333333337</v>
      </c>
      <c r="P680" s="86">
        <f>N680*1.5*((O680-K679)*500/2)</f>
        <v>23499.682668242745</v>
      </c>
      <c r="Q680" s="179" t="s">
        <v>80</v>
      </c>
      <c r="R680" s="179"/>
      <c r="S680" s="180">
        <f>D678+H679+L680+P681</f>
        <v>210529.04061531965</v>
      </c>
      <c r="T680" s="180"/>
    </row>
    <row r="681" spans="1:22" x14ac:dyDescent="0.25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9" t="s">
        <v>79</v>
      </c>
      <c r="P681" s="89">
        <f>SUM(P676:P680)</f>
        <v>23648.869962220753</v>
      </c>
      <c r="Q681" s="179"/>
      <c r="R681" s="179"/>
      <c r="S681" s="180"/>
      <c r="T681" s="180"/>
    </row>
    <row r="682" spans="1:22" x14ac:dyDescent="0.25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</row>
    <row r="683" spans="1:22" x14ac:dyDescent="0.25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</row>
    <row r="684" spans="1:22" x14ac:dyDescent="0.25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</row>
    <row r="685" spans="1:22" ht="24.75" thickBot="1" x14ac:dyDescent="0.3">
      <c r="O685" s="131" t="s">
        <v>81</v>
      </c>
      <c r="P685" s="131"/>
      <c r="Q685" s="131">
        <f>(R671+P671+M672+S680)/AC664</f>
        <v>1260.9113694398168</v>
      </c>
      <c r="R685" s="131"/>
    </row>
    <row r="686" spans="1:22" x14ac:dyDescent="0.25">
      <c r="A686" s="181" t="s">
        <v>123</v>
      </c>
      <c r="B686" s="182"/>
    </row>
    <row r="687" spans="1:22" ht="15.75" thickBot="1" x14ac:dyDescent="0.3">
      <c r="A687" s="183"/>
      <c r="B687" s="184"/>
    </row>
    <row r="688" spans="1:22" ht="21" x14ac:dyDescent="0.35">
      <c r="A688" s="185" t="s">
        <v>14</v>
      </c>
      <c r="B688" s="185"/>
      <c r="C688" s="165"/>
      <c r="D688" s="165"/>
      <c r="E688" s="165"/>
      <c r="F688" s="165"/>
      <c r="G688" s="165"/>
      <c r="H688" s="165"/>
      <c r="I688" s="165"/>
      <c r="J688" s="165"/>
      <c r="K688" s="165"/>
      <c r="L688" s="165"/>
      <c r="M688" s="165"/>
      <c r="O688" s="166" t="s">
        <v>72</v>
      </c>
      <c r="P688" s="166"/>
      <c r="Q688" s="166"/>
      <c r="R688" s="166"/>
      <c r="S688" s="166"/>
      <c r="T688" s="166"/>
      <c r="U688" s="166"/>
      <c r="V688" s="166"/>
    </row>
    <row r="689" spans="1:34" ht="36" x14ac:dyDescent="0.25">
      <c r="A689" s="4" t="s">
        <v>15</v>
      </c>
      <c r="B689" s="4" t="s">
        <v>16</v>
      </c>
      <c r="C689" s="4" t="s">
        <v>31</v>
      </c>
      <c r="D689" s="6" t="s">
        <v>17</v>
      </c>
      <c r="E689" s="6" t="s">
        <v>18</v>
      </c>
      <c r="F689" s="6" t="s">
        <v>19</v>
      </c>
      <c r="G689" s="6" t="s">
        <v>20</v>
      </c>
      <c r="H689" s="6" t="s">
        <v>21</v>
      </c>
      <c r="I689" s="6" t="s">
        <v>22</v>
      </c>
      <c r="J689" s="6" t="s">
        <v>23</v>
      </c>
      <c r="K689" s="6" t="s">
        <v>24</v>
      </c>
      <c r="L689" s="6" t="s">
        <v>25</v>
      </c>
      <c r="M689" s="6" t="s">
        <v>26</v>
      </c>
      <c r="N689" s="8"/>
      <c r="O689" s="167" t="s">
        <v>32</v>
      </c>
      <c r="P689" s="167" t="s">
        <v>35</v>
      </c>
      <c r="Q689" s="167" t="s">
        <v>66</v>
      </c>
      <c r="R689" s="99" t="s">
        <v>67</v>
      </c>
      <c r="S689" s="99" t="s">
        <v>68</v>
      </c>
      <c r="T689" s="167" t="s">
        <v>69</v>
      </c>
      <c r="U689" s="71" t="s">
        <v>33</v>
      </c>
      <c r="V689" s="99" t="s">
        <v>70</v>
      </c>
    </row>
    <row r="690" spans="1:34" x14ac:dyDescent="0.25">
      <c r="A690" s="3" t="s">
        <v>27</v>
      </c>
      <c r="B690" s="3">
        <v>0</v>
      </c>
      <c r="C690" s="3">
        <v>0.3</v>
      </c>
      <c r="D690" s="3">
        <v>243</v>
      </c>
      <c r="E690" s="3">
        <v>1.73</v>
      </c>
      <c r="F690" s="3">
        <v>5</v>
      </c>
      <c r="G690" s="169">
        <v>12</v>
      </c>
      <c r="H690" s="3">
        <v>1820</v>
      </c>
      <c r="I690" s="169">
        <v>19645</v>
      </c>
      <c r="J690" s="3">
        <v>20</v>
      </c>
      <c r="K690" s="3">
        <v>40</v>
      </c>
      <c r="L690" s="3">
        <v>500</v>
      </c>
      <c r="M690" s="3">
        <v>1000</v>
      </c>
      <c r="O690" s="168"/>
      <c r="P690" s="168"/>
      <c r="Q690" s="168"/>
      <c r="R690" s="72" t="s">
        <v>71</v>
      </c>
      <c r="S690" s="72" t="s">
        <v>71</v>
      </c>
      <c r="T690" s="168"/>
      <c r="U690" s="73">
        <v>500</v>
      </c>
      <c r="V690" s="3">
        <v>1.5</v>
      </c>
    </row>
    <row r="691" spans="1:34" x14ac:dyDescent="0.25">
      <c r="A691" s="3" t="s">
        <v>28</v>
      </c>
      <c r="B691" s="3">
        <v>0</v>
      </c>
      <c r="C691" s="3">
        <v>0.3</v>
      </c>
      <c r="D691" s="3">
        <v>254</v>
      </c>
      <c r="E691" s="3">
        <v>1.88</v>
      </c>
      <c r="F691" s="3">
        <v>3</v>
      </c>
      <c r="G691" s="170"/>
      <c r="H691" s="3">
        <v>2720</v>
      </c>
      <c r="I691" s="170"/>
      <c r="J691" s="5"/>
      <c r="K691" s="5"/>
      <c r="L691" s="5"/>
      <c r="M691" s="5"/>
      <c r="O691" s="74">
        <v>1</v>
      </c>
      <c r="P691" s="74">
        <v>106</v>
      </c>
      <c r="Q691" s="74">
        <v>110</v>
      </c>
      <c r="R691" s="74">
        <v>6</v>
      </c>
      <c r="S691" s="74">
        <v>5</v>
      </c>
      <c r="T691" s="74">
        <f>R691*$U$5/60+S691</f>
        <v>55</v>
      </c>
      <c r="U691" s="75"/>
    </row>
    <row r="692" spans="1:34" x14ac:dyDescent="0.25">
      <c r="A692" s="3" t="s">
        <v>29</v>
      </c>
      <c r="B692" s="3">
        <v>0</v>
      </c>
      <c r="C692" s="3">
        <v>0.3</v>
      </c>
      <c r="D692" s="3">
        <v>143</v>
      </c>
      <c r="E692" s="3">
        <v>2.4300000000000002</v>
      </c>
      <c r="F692" s="3">
        <v>8</v>
      </c>
      <c r="G692" s="170"/>
      <c r="H692" s="3">
        <v>3700</v>
      </c>
      <c r="I692" s="170"/>
      <c r="J692" s="5"/>
      <c r="K692" s="140" t="s">
        <v>73</v>
      </c>
      <c r="L692" s="141">
        <v>12</v>
      </c>
      <c r="M692" s="140" t="s">
        <v>74</v>
      </c>
      <c r="N692" s="141">
        <v>19645</v>
      </c>
      <c r="O692" s="74">
        <v>2</v>
      </c>
      <c r="P692" s="74">
        <v>76</v>
      </c>
      <c r="Q692" s="74">
        <v>40</v>
      </c>
      <c r="R692" s="74">
        <v>9</v>
      </c>
      <c r="S692" s="74">
        <v>2</v>
      </c>
      <c r="T692" s="74">
        <f t="shared" ref="T692:T694" si="72">R692*$U$5/60+S692</f>
        <v>77</v>
      </c>
      <c r="U692" s="75"/>
    </row>
    <row r="693" spans="1:34" x14ac:dyDescent="0.25">
      <c r="A693" s="3" t="s">
        <v>30</v>
      </c>
      <c r="B693" s="3">
        <v>0</v>
      </c>
      <c r="C693" s="3">
        <v>0.3</v>
      </c>
      <c r="D693" s="3">
        <v>449</v>
      </c>
      <c r="E693" s="3">
        <v>2.5299999999999998</v>
      </c>
      <c r="F693" s="3">
        <v>4</v>
      </c>
      <c r="G693" s="171"/>
      <c r="H693" s="3">
        <v>4320</v>
      </c>
      <c r="I693" s="171"/>
      <c r="J693" s="5"/>
      <c r="K693" s="140"/>
      <c r="L693" s="141"/>
      <c r="M693" s="140"/>
      <c r="N693" s="141"/>
      <c r="O693" s="74">
        <v>3</v>
      </c>
      <c r="P693" s="74">
        <v>95</v>
      </c>
      <c r="Q693" s="74">
        <v>67</v>
      </c>
      <c r="R693" s="74">
        <v>5</v>
      </c>
      <c r="S693" s="74">
        <v>4</v>
      </c>
      <c r="T693" s="74">
        <f t="shared" si="72"/>
        <v>45.666666666666664</v>
      </c>
      <c r="U693" s="75"/>
    </row>
    <row r="694" spans="1:34" ht="15.75" thickBo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O694" s="74">
        <v>4</v>
      </c>
      <c r="P694" s="74">
        <v>140</v>
      </c>
      <c r="Q694" s="94">
        <v>85</v>
      </c>
      <c r="R694" s="94">
        <v>8</v>
      </c>
      <c r="S694" s="94">
        <v>3</v>
      </c>
      <c r="T694" s="74">
        <f t="shared" si="72"/>
        <v>69.666666666666671</v>
      </c>
    </row>
    <row r="695" spans="1:34" ht="15" customHeight="1" x14ac:dyDescent="0.25">
      <c r="A695" s="142" t="s">
        <v>101</v>
      </c>
      <c r="B695" s="144" t="s">
        <v>107</v>
      </c>
      <c r="C695" s="144"/>
      <c r="D695" s="144"/>
      <c r="E695" s="144"/>
      <c r="F695" s="20" t="s">
        <v>27</v>
      </c>
      <c r="G695" s="20" t="s">
        <v>28</v>
      </c>
      <c r="H695" s="20" t="s">
        <v>29</v>
      </c>
      <c r="I695" s="20" t="s">
        <v>30</v>
      </c>
    </row>
    <row r="696" spans="1:34" ht="15.75" customHeight="1" thickBot="1" x14ac:dyDescent="0.3">
      <c r="A696" s="143"/>
      <c r="B696" s="145"/>
      <c r="C696" s="145"/>
      <c r="D696" s="145"/>
      <c r="E696" s="145"/>
      <c r="F696" s="20">
        <v>168</v>
      </c>
      <c r="G696" s="26">
        <v>84</v>
      </c>
      <c r="H696" s="26">
        <v>84</v>
      </c>
      <c r="I696" s="26">
        <v>252</v>
      </c>
    </row>
    <row r="697" spans="1:34" ht="15.75" customHeight="1" thickBot="1" x14ac:dyDescent="0.3">
      <c r="A697" s="143"/>
      <c r="B697" s="145"/>
      <c r="C697" s="145"/>
      <c r="D697" s="145"/>
      <c r="E697" s="145"/>
      <c r="F697" s="7"/>
      <c r="G697" s="146" t="s">
        <v>27</v>
      </c>
      <c r="H697" s="147"/>
      <c r="I697" s="147"/>
      <c r="J697" s="147"/>
      <c r="K697" s="148"/>
      <c r="L697" s="149" t="s">
        <v>28</v>
      </c>
      <c r="M697" s="150"/>
      <c r="N697" s="150"/>
      <c r="O697" s="150"/>
      <c r="P697" s="151"/>
      <c r="Q697" s="152" t="s">
        <v>29</v>
      </c>
      <c r="R697" s="153"/>
      <c r="S697" s="153"/>
      <c r="T697" s="153"/>
      <c r="U697" s="154"/>
      <c r="V697" s="155" t="s">
        <v>30</v>
      </c>
      <c r="W697" s="156"/>
      <c r="X697" s="156"/>
      <c r="Y697" s="156"/>
      <c r="Z697" s="157"/>
      <c r="AA697" s="158" t="s">
        <v>42</v>
      </c>
      <c r="AB697" s="159"/>
      <c r="AC697" s="160" t="s">
        <v>44</v>
      </c>
      <c r="AD697" s="162" t="s">
        <v>47</v>
      </c>
      <c r="AE697" s="163"/>
      <c r="AF697" s="163"/>
      <c r="AG697" s="164"/>
      <c r="AH697" s="138" t="s">
        <v>62</v>
      </c>
    </row>
    <row r="698" spans="1:34" ht="36.75" x14ac:dyDescent="0.25">
      <c r="A698" s="21" t="s">
        <v>32</v>
      </c>
      <c r="B698" s="22" t="s">
        <v>37</v>
      </c>
      <c r="C698" s="23" t="s">
        <v>33</v>
      </c>
      <c r="D698" s="22" t="s">
        <v>38</v>
      </c>
      <c r="E698" s="22" t="s">
        <v>34</v>
      </c>
      <c r="F698" s="25" t="s">
        <v>35</v>
      </c>
      <c r="G698" s="27" t="s">
        <v>39</v>
      </c>
      <c r="H698" s="10" t="s">
        <v>40</v>
      </c>
      <c r="I698" s="10" t="s">
        <v>45</v>
      </c>
      <c r="J698" s="10" t="s">
        <v>46</v>
      </c>
      <c r="K698" s="28" t="s">
        <v>41</v>
      </c>
      <c r="L698" s="30" t="s">
        <v>39</v>
      </c>
      <c r="M698" s="13" t="s">
        <v>40</v>
      </c>
      <c r="N698" s="13" t="s">
        <v>45</v>
      </c>
      <c r="O698" s="13" t="s">
        <v>46</v>
      </c>
      <c r="P698" s="31" t="s">
        <v>41</v>
      </c>
      <c r="Q698" s="33" t="s">
        <v>39</v>
      </c>
      <c r="R698" s="12" t="s">
        <v>40</v>
      </c>
      <c r="S698" s="12" t="s">
        <v>45</v>
      </c>
      <c r="T698" s="12" t="s">
        <v>46</v>
      </c>
      <c r="U698" s="34" t="s">
        <v>41</v>
      </c>
      <c r="V698" s="36" t="s">
        <v>39</v>
      </c>
      <c r="W698" s="11" t="s">
        <v>40</v>
      </c>
      <c r="X698" s="11" t="s">
        <v>45</v>
      </c>
      <c r="Y698" s="11" t="s">
        <v>46</v>
      </c>
      <c r="Z698" s="37" t="s">
        <v>41</v>
      </c>
      <c r="AA698" s="39" t="s">
        <v>41</v>
      </c>
      <c r="AB698" s="40" t="s">
        <v>43</v>
      </c>
      <c r="AC698" s="161"/>
      <c r="AD698" s="43" t="s">
        <v>27</v>
      </c>
      <c r="AE698" s="1" t="s">
        <v>28</v>
      </c>
      <c r="AF698" s="1" t="s">
        <v>29</v>
      </c>
      <c r="AG698" s="1" t="s">
        <v>30</v>
      </c>
      <c r="AH698" s="139"/>
    </row>
    <row r="699" spans="1:34" x14ac:dyDescent="0.25">
      <c r="A699" s="24">
        <v>4</v>
      </c>
      <c r="B699" s="9">
        <v>8</v>
      </c>
      <c r="C699" s="9">
        <v>500</v>
      </c>
      <c r="D699" s="9">
        <v>3</v>
      </c>
      <c r="E699" s="48">
        <f>B699*C699/60+D699</f>
        <v>69.666666666666671</v>
      </c>
      <c r="F699" s="100">
        <v>140</v>
      </c>
      <c r="G699" s="49">
        <f>B$5*(1-AD699*C$5)</f>
        <v>0</v>
      </c>
      <c r="H699" s="50">
        <f>G699+E699</f>
        <v>69.666666666666671</v>
      </c>
      <c r="I699" s="15">
        <f>(H699/D$5)^E$5</f>
        <v>0.11516869637804684</v>
      </c>
      <c r="J699" s="15">
        <f>(G699/D$5)^E$5</f>
        <v>0</v>
      </c>
      <c r="K699" s="29">
        <f>1-EXP(J699-I699)</f>
        <v>0.10878421365041502</v>
      </c>
      <c r="L699" s="51">
        <f>B$6*(1-AE699*C$6)</f>
        <v>0</v>
      </c>
      <c r="M699" s="52">
        <f>L699+E699</f>
        <v>69.666666666666671</v>
      </c>
      <c r="N699" s="17">
        <f>(M699/D$6)^E$6</f>
        <v>8.7861714115895329E-2</v>
      </c>
      <c r="O699" s="17">
        <f>(L699/D$6)^E$6</f>
        <v>0</v>
      </c>
      <c r="P699" s="32">
        <f>1-EXP(O699-N699)</f>
        <v>8.4112477717763534E-2</v>
      </c>
      <c r="Q699" s="53">
        <f>B$7*(1-AF699*C$7)</f>
        <v>0</v>
      </c>
      <c r="R699" s="54">
        <f>Q699+E699</f>
        <v>69.666666666666671</v>
      </c>
      <c r="S699" s="16">
        <f>(R699/D$7)^E$7</f>
        <v>0.17421448251746105</v>
      </c>
      <c r="T699" s="16">
        <f>(Q699/D$7)^E$7</f>
        <v>0</v>
      </c>
      <c r="U699" s="35">
        <f>1-EXP(T699-S699)</f>
        <v>0.15988331200899064</v>
      </c>
      <c r="V699" s="55">
        <f>B$8*(1-AG699*C$8)</f>
        <v>0</v>
      </c>
      <c r="W699" s="56">
        <f>V699+E699</f>
        <v>69.666666666666671</v>
      </c>
      <c r="X699" s="18">
        <f>(W699/D$8)^E$8</f>
        <v>8.9674731846197935E-3</v>
      </c>
      <c r="Y699" s="18">
        <f>(V699/D$8)^E$8</f>
        <v>0</v>
      </c>
      <c r="Z699" s="38">
        <f>1-EXP(Y699-X699)</f>
        <v>8.9273853154187011E-3</v>
      </c>
      <c r="AA699" s="41">
        <f>K699*P699*U699*Z699</f>
        <v>1.3060317021926209E-5</v>
      </c>
      <c r="AB699" s="42">
        <f>1-AA699</f>
        <v>0.99998693968297803</v>
      </c>
      <c r="AC699" s="47">
        <f>(AD699*F$5+AE699*F$6+AF699*F$7+AG699*F$8)+E699</f>
        <v>69.666666666666671</v>
      </c>
      <c r="AD699" s="43">
        <v>0</v>
      </c>
      <c r="AE699" s="1">
        <v>0</v>
      </c>
      <c r="AF699" s="1">
        <v>0</v>
      </c>
      <c r="AG699" s="1">
        <v>0</v>
      </c>
      <c r="AH699" s="74">
        <v>85</v>
      </c>
    </row>
    <row r="700" spans="1:34" x14ac:dyDescent="0.25">
      <c r="A700" s="76">
        <v>1</v>
      </c>
      <c r="B700" s="58">
        <v>6</v>
      </c>
      <c r="C700" s="9">
        <v>500</v>
      </c>
      <c r="D700" s="58">
        <v>5</v>
      </c>
      <c r="E700" s="48">
        <f t="shared" ref="E700:E702" si="73">B700*C700/60+D700</f>
        <v>55</v>
      </c>
      <c r="F700" s="100">
        <v>106</v>
      </c>
      <c r="G700" s="49">
        <f>H699*(1-AD700*C$5)</f>
        <v>69.666666666666671</v>
      </c>
      <c r="H700" s="50">
        <f>G700+E700</f>
        <v>124.66666666666667</v>
      </c>
      <c r="I700" s="15">
        <f>(H700/D$5)^E$5</f>
        <v>0.31517317577772647</v>
      </c>
      <c r="J700" s="15">
        <f>(G700/D$5)^E$5</f>
        <v>0.11516869637804684</v>
      </c>
      <c r="K700" s="29">
        <f>1-EXP(J700-I700)</f>
        <v>0.18127291433607728</v>
      </c>
      <c r="L700" s="51">
        <f>M699*(1-AE700*C$6)</f>
        <v>69.666666666666671</v>
      </c>
      <c r="M700" s="52">
        <f>L700+E700</f>
        <v>124.66666666666667</v>
      </c>
      <c r="N700" s="17">
        <f>(M700/D$6)^E$6</f>
        <v>0.26237549202961352</v>
      </c>
      <c r="O700" s="17">
        <f>(L700/D$6)^E$6</f>
        <v>8.7861714115895329E-2</v>
      </c>
      <c r="P700" s="32">
        <f>1-EXP(O700-N700)</f>
        <v>0.16013471744190411</v>
      </c>
      <c r="Q700" s="53">
        <f>R699*(1-AF700*C$7)</f>
        <v>69.666666666666671</v>
      </c>
      <c r="R700" s="54">
        <f>Q700+E700</f>
        <v>124.66666666666667</v>
      </c>
      <c r="S700" s="16">
        <f>(R700/D$7)^E$7</f>
        <v>0.71648445673009076</v>
      </c>
      <c r="T700" s="16">
        <f>(Q700/D$7)^E$7</f>
        <v>0.17421448251746105</v>
      </c>
      <c r="U700" s="35">
        <f>1-EXP(T700-S700)</f>
        <v>0.41857307087912443</v>
      </c>
      <c r="V700" s="55">
        <f>W699*(1-AG700*C$8)</f>
        <v>69.666666666666671</v>
      </c>
      <c r="W700" s="56">
        <f>V700+E700</f>
        <v>124.66666666666667</v>
      </c>
      <c r="X700" s="18">
        <f>(W700/D$8)^E$8</f>
        <v>3.9089951931753103E-2</v>
      </c>
      <c r="Y700" s="18">
        <f>(V700/D$8)^E$8</f>
        <v>8.9674731846197935E-3</v>
      </c>
      <c r="Z700" s="38">
        <f>1-EXP(Y700-X700)</f>
        <v>2.967331812605134E-2</v>
      </c>
      <c r="AA700" s="41">
        <f>K700*P700*U700*Z700</f>
        <v>3.6054195704698238E-4</v>
      </c>
      <c r="AB700" s="42">
        <f>1-AA700</f>
        <v>0.99963945804295307</v>
      </c>
      <c r="AC700" s="47">
        <f>AF700*F$7+E700+AC699</f>
        <v>124.66666666666667</v>
      </c>
      <c r="AD700" s="43">
        <v>0</v>
      </c>
      <c r="AE700" s="1">
        <v>0</v>
      </c>
      <c r="AF700" s="1">
        <v>0</v>
      </c>
      <c r="AG700" s="1">
        <v>0</v>
      </c>
      <c r="AH700" s="74">
        <v>110</v>
      </c>
    </row>
    <row r="701" spans="1:34" x14ac:dyDescent="0.25">
      <c r="A701" s="24">
        <v>2</v>
      </c>
      <c r="B701" s="9">
        <v>9</v>
      </c>
      <c r="C701" s="58">
        <v>500</v>
      </c>
      <c r="D701" s="58">
        <v>2</v>
      </c>
      <c r="E701" s="48">
        <f t="shared" si="73"/>
        <v>77</v>
      </c>
      <c r="F701" s="100">
        <v>76</v>
      </c>
      <c r="G701" s="68">
        <f>H700*(1-AD701*C$5)</f>
        <v>124.66666666666667</v>
      </c>
      <c r="H701" s="69">
        <f>G701+E701</f>
        <v>201.66666666666669</v>
      </c>
      <c r="I701" s="70">
        <f>(H701/D$5)^E$5</f>
        <v>0.72429948125597088</v>
      </c>
      <c r="J701" s="70">
        <f>(G701/D$5)^E$5</f>
        <v>0.31517317577772647</v>
      </c>
      <c r="K701" s="29">
        <f>1-EXP(J701-I701)</f>
        <v>0.33576966890589732</v>
      </c>
      <c r="L701" s="51">
        <f>M700*(1-AE701*C$6)</f>
        <v>87.266666666666666</v>
      </c>
      <c r="M701" s="52">
        <f>L701+E701</f>
        <v>164.26666666666665</v>
      </c>
      <c r="N701" s="17">
        <f>(M701/D$6)^E$6</f>
        <v>0.4407025549284625</v>
      </c>
      <c r="O701" s="17">
        <f>(L701/D$6)^E$6</f>
        <v>0.13418611561976262</v>
      </c>
      <c r="P701" s="32">
        <f>1-EXP(O701-N701)</f>
        <v>0.26399358135681483</v>
      </c>
      <c r="Q701" s="53">
        <f>R700*(1-AF701*C$7)</f>
        <v>87.266666666666666</v>
      </c>
      <c r="R701" s="54">
        <f>Q701+E701</f>
        <v>164.26666666666665</v>
      </c>
      <c r="S701" s="16">
        <f>(R701/D$7)^E$7</f>
        <v>1.400614373673216</v>
      </c>
      <c r="T701" s="16">
        <f>(Q701/D$7)^E$7</f>
        <v>0.30115842040528412</v>
      </c>
      <c r="U701" s="35">
        <f>1-EXP(T701-S701)</f>
        <v>0.66694776960496838</v>
      </c>
      <c r="V701" s="55">
        <f>W700*(1-AG701*C$8)</f>
        <v>124.66666666666667</v>
      </c>
      <c r="W701" s="56">
        <f>V701+E701</f>
        <v>201.66666666666669</v>
      </c>
      <c r="X701" s="18">
        <f>(W701/D$8)^E$8</f>
        <v>0.13199001575183039</v>
      </c>
      <c r="Y701" s="18">
        <f>(V701/D$8)^E$8</f>
        <v>3.9089951931753103E-2</v>
      </c>
      <c r="Z701" s="38">
        <f>1-EXP(Y701-X701)</f>
        <v>8.8715433955963707E-2</v>
      </c>
      <c r="AA701" s="41">
        <f>K701*P701*U701*Z701</f>
        <v>5.2447626116732511E-3</v>
      </c>
      <c r="AB701" s="42">
        <f>1-AA701</f>
        <v>0.99475523738832672</v>
      </c>
      <c r="AC701" s="47">
        <f>(AF701*F$7)+E701+AC700</f>
        <v>209.66666666666669</v>
      </c>
      <c r="AD701" s="77">
        <v>0</v>
      </c>
      <c r="AE701" s="78">
        <v>1</v>
      </c>
      <c r="AF701" s="78">
        <v>1</v>
      </c>
      <c r="AG701" s="78">
        <v>0</v>
      </c>
      <c r="AH701" s="74">
        <v>40</v>
      </c>
    </row>
    <row r="702" spans="1:34" ht="15.75" thickBot="1" x14ac:dyDescent="0.3">
      <c r="A702" s="57">
        <v>3</v>
      </c>
      <c r="B702" s="58">
        <v>5</v>
      </c>
      <c r="C702" s="58">
        <v>500</v>
      </c>
      <c r="D702" s="9">
        <v>4</v>
      </c>
      <c r="E702" s="48">
        <f t="shared" si="73"/>
        <v>45.666666666666664</v>
      </c>
      <c r="F702" s="100">
        <v>95</v>
      </c>
      <c r="G702" s="68">
        <f>H701*(1-AD702*C$5)</f>
        <v>141.16666666666666</v>
      </c>
      <c r="H702" s="69">
        <f>G702+E702</f>
        <v>186.83333333333331</v>
      </c>
      <c r="I702" s="70">
        <f>(H702/D$5)^E$5</f>
        <v>0.63462502467785764</v>
      </c>
      <c r="J702" s="70">
        <f>(G702/D$5)^E$5</f>
        <v>0.39078490830583607</v>
      </c>
      <c r="K702" s="29">
        <f>1-EXP(J702-I702)</f>
        <v>0.21638708887710267</v>
      </c>
      <c r="L702" s="51">
        <f>M701*(1-AE702*C$6)</f>
        <v>114.98666666666665</v>
      </c>
      <c r="M702" s="52">
        <f>L702+E702</f>
        <v>160.65333333333331</v>
      </c>
      <c r="N702" s="17">
        <f>(M702/D$6)^E$6</f>
        <v>0.42265433313983669</v>
      </c>
      <c r="O702" s="17">
        <f>(L702/D$6)^E$6</f>
        <v>0.22538752965113423</v>
      </c>
      <c r="P702" s="32">
        <f>1-EXP(O702-N702)</f>
        <v>0.17902843398794011</v>
      </c>
      <c r="Q702" s="53">
        <f>R701*(1-AF702*C$7)</f>
        <v>114.98666666666665</v>
      </c>
      <c r="R702" s="54">
        <f>Q702+E702</f>
        <v>160.65333333333331</v>
      </c>
      <c r="S702" s="16">
        <f>(R702/D$7)^E$7</f>
        <v>1.3269223205942826</v>
      </c>
      <c r="T702" s="16">
        <f>(Q702/D$7)^E$7</f>
        <v>0.58871732444471214</v>
      </c>
      <c r="U702" s="35">
        <f>1-EXP(T702-S702)</f>
        <v>0.52202889406362218</v>
      </c>
      <c r="V702" s="55">
        <f>W701*(1-AG702*C$8)</f>
        <v>201.66666666666669</v>
      </c>
      <c r="W702" s="56">
        <f>V702+E702</f>
        <v>247.33333333333334</v>
      </c>
      <c r="X702" s="18">
        <f>(W702/D$8)^E$8</f>
        <v>0.22121871391987213</v>
      </c>
      <c r="Y702" s="18">
        <f>(V702/D$8)^E$8</f>
        <v>0.13199001575183039</v>
      </c>
      <c r="Z702" s="38">
        <f>1-EXP(Y702-X702)</f>
        <v>8.5363626009572924E-2</v>
      </c>
      <c r="AA702" s="41">
        <f>K702*P702*U702*Z702</f>
        <v>1.7263178182277475E-3</v>
      </c>
      <c r="AB702" s="42">
        <f>1-AA702</f>
        <v>0.99827368218177226</v>
      </c>
      <c r="AC702" s="47">
        <f>(AF702*F$7)+E702+AC701</f>
        <v>263.33333333333337</v>
      </c>
      <c r="AD702" s="80">
        <v>1</v>
      </c>
      <c r="AE702" s="45">
        <v>1</v>
      </c>
      <c r="AF702" s="81">
        <v>1</v>
      </c>
      <c r="AG702" s="45">
        <v>0</v>
      </c>
      <c r="AH702" s="94">
        <v>67</v>
      </c>
    </row>
    <row r="703" spans="1:34" ht="18.75" x14ac:dyDescent="0.3">
      <c r="A703" s="132" t="s">
        <v>53</v>
      </c>
      <c r="B703" s="132"/>
      <c r="C703" s="132"/>
      <c r="D703" s="132"/>
      <c r="E703" s="132"/>
      <c r="F703" s="132"/>
      <c r="G703" s="132"/>
      <c r="H703" s="132"/>
      <c r="I703" s="132"/>
      <c r="J703" s="132"/>
      <c r="AG703" s="46"/>
    </row>
    <row r="704" spans="1:34" ht="15.75" x14ac:dyDescent="0.25">
      <c r="A704" s="19" t="s">
        <v>82</v>
      </c>
      <c r="B704" s="60" t="s">
        <v>49</v>
      </c>
      <c r="C704" s="61" t="s">
        <v>50</v>
      </c>
      <c r="D704" s="19" t="s">
        <v>58</v>
      </c>
      <c r="E704" s="60" t="s">
        <v>57</v>
      </c>
      <c r="F704" s="61" t="s">
        <v>50</v>
      </c>
      <c r="G704" s="19" t="s">
        <v>48</v>
      </c>
      <c r="H704" s="60" t="s">
        <v>61</v>
      </c>
      <c r="I704" s="61" t="s">
        <v>50</v>
      </c>
      <c r="J704" s="19" t="s">
        <v>54</v>
      </c>
      <c r="K704" s="83" t="s">
        <v>84</v>
      </c>
      <c r="L704" s="61" t="s">
        <v>50</v>
      </c>
      <c r="M704" s="61" t="s">
        <v>85</v>
      </c>
      <c r="O704" s="174" t="s">
        <v>64</v>
      </c>
      <c r="P704" s="174"/>
      <c r="Q704" s="175" t="s">
        <v>109</v>
      </c>
      <c r="R704" s="175"/>
    </row>
    <row r="705" spans="1:20" ht="24.75" x14ac:dyDescent="0.25">
      <c r="A705" s="61" t="s">
        <v>51</v>
      </c>
      <c r="B705" s="1">
        <f>AA699</f>
        <v>1.3060317021926209E-5</v>
      </c>
      <c r="C705" s="59">
        <f>MAX(AC699+1*L692-F699,0)</f>
        <v>0</v>
      </c>
      <c r="D705" s="62" t="s">
        <v>55</v>
      </c>
      <c r="E705" s="1">
        <f>AA699*AA700</f>
        <v>4.7087922587392923E-9</v>
      </c>
      <c r="F705" s="1">
        <f>MAX(AC700+2*L692-F700,0)</f>
        <v>42.666666666666686</v>
      </c>
      <c r="G705" s="62" t="s">
        <v>59</v>
      </c>
      <c r="H705" s="1">
        <f>AA699*AA700*AA701</f>
        <v>2.4696497584772277E-11</v>
      </c>
      <c r="I705" s="1">
        <f>AC701+3*L692-F701</f>
        <v>169.66666666666669</v>
      </c>
      <c r="J705" s="62" t="s">
        <v>83</v>
      </c>
      <c r="K705" s="1">
        <f>AA699*AA700*AA701*AA702</f>
        <v>4.2634003828410916E-14</v>
      </c>
      <c r="L705" s="1">
        <f>AC702+4*L692-F702</f>
        <v>216.33333333333337</v>
      </c>
      <c r="M705" s="1">
        <f>B705*C705*AH699+E705*F705*AH700+H705*I705*AH701+K705*L705*AH702</f>
        <v>2.2268156516087899E-5</v>
      </c>
      <c r="O705" s="1" t="s">
        <v>27</v>
      </c>
      <c r="P705" s="1">
        <f>H690</f>
        <v>1820</v>
      </c>
      <c r="Q705" s="1">
        <f>(K699*(1-P699)*(1-U699)*(1-Z699))+(P699*(1-K699)*(1-U699)*(1-Z699))+(U699*(1-K699)*(1-P699)*(1-Z699))+(Z699*(1-K699)*(1-P699)*(1-U699))</f>
        <v>0.28083409477630866</v>
      </c>
      <c r="R705" s="1">
        <f>Q705*(L$7*(J$5*K$5+L$5)+I$5)</f>
        <v>9897.9976703909997</v>
      </c>
    </row>
    <row r="706" spans="1:20" ht="24.75" x14ac:dyDescent="0.25">
      <c r="A706" s="62" t="s">
        <v>52</v>
      </c>
      <c r="B706" s="1">
        <f>AB699</f>
        <v>0.99998693968297803</v>
      </c>
      <c r="C706" s="59">
        <f>MAX(AC699-F699,0)</f>
        <v>0</v>
      </c>
      <c r="D706" s="62" t="s">
        <v>56</v>
      </c>
      <c r="E706" s="1">
        <f>AA699*AB700+AA700*AB699</f>
        <v>3.7359285648439107E-4</v>
      </c>
      <c r="F706" s="1">
        <f>MAX(AC700+1*L692-F700,0)</f>
        <v>30.666666666666686</v>
      </c>
      <c r="G706" s="62" t="s">
        <v>60</v>
      </c>
      <c r="H706" s="1">
        <f>AA699*AA700*AB701+AA700*AA701*AB699+AA699*AA701*AB700</f>
        <v>1.9640899414386998E-6</v>
      </c>
      <c r="I706" s="1">
        <f>AC701+2*L692-F701</f>
        <v>157.66666666666669</v>
      </c>
      <c r="J706" s="62" t="s">
        <v>59</v>
      </c>
      <c r="K706">
        <f>AB699*AA700*AA701*AA702+AB700*AA699*AA701*AA702*+AB701*AA699*AA700*AA702+AB702*AA699*AA700*AA701</f>
        <v>3.2890039511969379E-9</v>
      </c>
      <c r="L706" s="1">
        <f>AC702+3*L692-F702</f>
        <v>204.33333333333337</v>
      </c>
      <c r="M706" s="1">
        <f>B706*C706*AH699+E706*F706*AH700+H706*I706*AH701+K706*L706*AH702</f>
        <v>1.2726851239984465</v>
      </c>
      <c r="O706" s="1" t="s">
        <v>28</v>
      </c>
      <c r="P706" s="1">
        <f>2*H691</f>
        <v>5440</v>
      </c>
      <c r="Q706" s="1">
        <f t="shared" ref="Q706:Q708" si="74">(K700*(1-P700)*(1-U700)*(1-Z700))+(P700*(1-K700)*(1-U700)*(1-Z700))+(U700*(1-K700)*(1-P700)*(1-Z700))+(Z700*(1-K700)*(1-P700)*(1-U700))</f>
        <v>0.45100181571012737</v>
      </c>
      <c r="R706" s="1">
        <f t="shared" ref="R706:R708" si="75">Q706*(L$7*(J$5*K$5+L$5)+I$5)</f>
        <v>15895.558994703439</v>
      </c>
    </row>
    <row r="707" spans="1:20" ht="24.75" x14ac:dyDescent="0.25">
      <c r="A707" s="1"/>
      <c r="B707" s="1"/>
      <c r="C707" s="1"/>
      <c r="D707" s="62" t="s">
        <v>52</v>
      </c>
      <c r="E707" s="1">
        <f>AB699*AB700</f>
        <v>0.99962640243472334</v>
      </c>
      <c r="F707" s="59">
        <f>MAX(AC700-F700,0)</f>
        <v>18.666666666666671</v>
      </c>
      <c r="G707" s="62" t="s">
        <v>56</v>
      </c>
      <c r="H707" s="1">
        <f>AA699*AB700*AB701+AA700*AB699*AB701*+AA701*AB699*AB700</f>
        <v>1.4867446710046325E-5</v>
      </c>
      <c r="I707" s="1">
        <f>AC701+1*L692-F701</f>
        <v>145.66666666666669</v>
      </c>
      <c r="J707" s="62" t="s">
        <v>60</v>
      </c>
      <c r="K707" s="1">
        <f>AA699*AA700*AB701*AB702 + AA699*AA701*AB700*AB702 + AA699*AA702*AB700*AB701 + AA700*AA701*AB699*AB702 + AA700*AA702*AB699*AB701 + AA701*AA702*AB699*AB700</f>
        <v>1.165300129471096E-5</v>
      </c>
      <c r="L707" s="1">
        <f>AC702+2*L692-F702</f>
        <v>192.33333333333337</v>
      </c>
      <c r="M707" s="1">
        <f>B707*C707*AH699+E707*F707*AH700+H707*I707*AH701+K707*L707*AH702</f>
        <v>2052.8030051144806</v>
      </c>
      <c r="O707" s="1" t="s">
        <v>29</v>
      </c>
      <c r="P707" s="1">
        <f>2*(F692*(J690*K690+L690)+H692)</f>
        <v>28200</v>
      </c>
      <c r="Q707" s="1">
        <f t="shared" si="74"/>
        <v>0.4397998647161046</v>
      </c>
      <c r="R707" s="1">
        <f t="shared" si="75"/>
        <v>15500.746231919107</v>
      </c>
    </row>
    <row r="708" spans="1:20" ht="24.75" x14ac:dyDescent="0.25">
      <c r="A708" s="1"/>
      <c r="B708" s="1"/>
      <c r="C708" s="1"/>
      <c r="D708" s="1"/>
      <c r="E708" s="1"/>
      <c r="F708" s="1"/>
      <c r="G708" s="62" t="s">
        <v>52</v>
      </c>
      <c r="H708" s="1">
        <f>AB699*AB700*AB701</f>
        <v>0.99438359925359221</v>
      </c>
      <c r="I708" s="63">
        <f>AC701-F701</f>
        <v>133.66666666666669</v>
      </c>
      <c r="J708" s="62" t="s">
        <v>56</v>
      </c>
      <c r="K708" s="1">
        <f>AA699*AB700*AB701*AB702+AA700*AB699*AB701*AB702+AA701*AB699*AB700*AB702+AA702*AB699*AB700*AB701</f>
        <v>7.3213664553179719E-3</v>
      </c>
      <c r="L708" s="1">
        <f>AC702+1*L692-F702</f>
        <v>180.33333333333337</v>
      </c>
      <c r="M708" s="1">
        <f>B708*C708*AH699+E708*F708*AH700+H708*I708*AH701+K708*L708*AH702</f>
        <v>5405.0968339778437</v>
      </c>
      <c r="O708" s="1" t="s">
        <v>30</v>
      </c>
      <c r="P708" s="1">
        <v>0</v>
      </c>
      <c r="Q708" s="1">
        <f t="shared" si="74"/>
        <v>0.47240646014151372</v>
      </c>
      <c r="R708" s="1">
        <f t="shared" si="75"/>
        <v>16649.965687687651</v>
      </c>
    </row>
    <row r="709" spans="1:20" ht="30" x14ac:dyDescent="0.25">
      <c r="I709" s="84"/>
      <c r="J709" s="62" t="s">
        <v>52</v>
      </c>
      <c r="K709" s="85">
        <f>AB699*AB700*AB701*AB702</f>
        <v>0.9926669771280473</v>
      </c>
      <c r="L709" s="1">
        <f>AC702+0*L692-F702</f>
        <v>168.33333333333337</v>
      </c>
      <c r="M709" s="1">
        <f>B709*C709*AH699+E709*F709*AH700+H709*I709*AH701+K709*L709*AH702</f>
        <v>11195.629057042495</v>
      </c>
      <c r="O709" s="64" t="s">
        <v>65</v>
      </c>
      <c r="P709" s="65">
        <f>SUM(P705:P708)</f>
        <v>35460</v>
      </c>
      <c r="Q709" s="96" t="s">
        <v>108</v>
      </c>
      <c r="R709" s="97">
        <f>SUM(R705:R708)</f>
        <v>57944.268584701204</v>
      </c>
    </row>
    <row r="710" spans="1:20" x14ac:dyDescent="0.25">
      <c r="L710" s="176" t="s">
        <v>63</v>
      </c>
      <c r="M710" s="177">
        <f>SUM(M705:M709)</f>
        <v>18654.801603526976</v>
      </c>
    </row>
    <row r="711" spans="1:20" x14ac:dyDescent="0.25">
      <c r="L711" s="176"/>
      <c r="M711" s="177"/>
    </row>
    <row r="712" spans="1:20" x14ac:dyDescent="0.25">
      <c r="A712" s="178" t="s">
        <v>90</v>
      </c>
      <c r="B712" s="178"/>
      <c r="C712" s="178"/>
      <c r="D712" s="178"/>
      <c r="E712" s="178"/>
      <c r="F712" s="178"/>
      <c r="G712" s="178"/>
      <c r="H712" s="178"/>
      <c r="I712" s="178"/>
      <c r="J712" s="178"/>
      <c r="K712" s="178"/>
      <c r="L712" s="178"/>
      <c r="M712" s="178"/>
      <c r="N712" s="178"/>
    </row>
    <row r="713" spans="1:20" ht="15.75" x14ac:dyDescent="0.25">
      <c r="A713" s="87" t="s">
        <v>86</v>
      </c>
      <c r="B713" s="62" t="s">
        <v>49</v>
      </c>
      <c r="C713" s="90" t="s">
        <v>103</v>
      </c>
      <c r="D713" s="62" t="s">
        <v>88</v>
      </c>
      <c r="E713" s="87" t="s">
        <v>77</v>
      </c>
      <c r="F713" s="62" t="s">
        <v>57</v>
      </c>
      <c r="G713" s="90" t="s">
        <v>78</v>
      </c>
      <c r="H713" s="62" t="s">
        <v>88</v>
      </c>
      <c r="I713" s="87" t="s">
        <v>75</v>
      </c>
      <c r="J713" s="62" t="s">
        <v>61</v>
      </c>
      <c r="K713" s="90" t="s">
        <v>87</v>
      </c>
      <c r="L713" s="62" t="s">
        <v>88</v>
      </c>
      <c r="M713" s="87" t="s">
        <v>76</v>
      </c>
      <c r="N713" s="62" t="s">
        <v>84</v>
      </c>
      <c r="O713" s="90" t="s">
        <v>102</v>
      </c>
      <c r="P713" s="62" t="s">
        <v>88</v>
      </c>
    </row>
    <row r="714" spans="1:20" ht="24.75" x14ac:dyDescent="0.25">
      <c r="A714" s="62" t="s">
        <v>51</v>
      </c>
      <c r="B714" s="86">
        <v>1.3060317021926209E-5</v>
      </c>
      <c r="C714" s="86">
        <f>AC699+1*L692</f>
        <v>81.666666666666671</v>
      </c>
      <c r="D714" s="86">
        <f>MAX(B714*1.5*((C714-F699)*500/2),0)</f>
        <v>0</v>
      </c>
      <c r="E714" s="62" t="s">
        <v>55</v>
      </c>
      <c r="F714" s="86">
        <v>4.7087922587392923E-9</v>
      </c>
      <c r="G714" s="86">
        <f>AC700+2*L692</f>
        <v>148.66666666666669</v>
      </c>
      <c r="H714" s="86">
        <f>F714*1.5*((G714-F700)*500/2+(G714-F701)*500+(G714-F702)*500)</f>
        <v>5.2149874265537677E-4</v>
      </c>
      <c r="I714" s="62" t="s">
        <v>59</v>
      </c>
      <c r="J714" s="86">
        <v>2.4696497584772277E-11</v>
      </c>
      <c r="K714" s="86">
        <f>AC701+3*L692</f>
        <v>245.66666666666669</v>
      </c>
      <c r="L714" s="86">
        <f>J714*1.5*((K714-G714)*500/2+(K714-G714)*500)</f>
        <v>2.6950052989382749E-6</v>
      </c>
      <c r="M714" s="62" t="s">
        <v>83</v>
      </c>
      <c r="N714" s="86">
        <v>4.2634003828410916E-14</v>
      </c>
      <c r="O714" s="86">
        <f>AC702+4*L692</f>
        <v>311.33333333333337</v>
      </c>
      <c r="P714" s="86">
        <f>N714*1.5*((O714-K714)*500/2)</f>
        <v>1.0498623442746192E-9</v>
      </c>
    </row>
    <row r="715" spans="1:20" ht="24.75" x14ac:dyDescent="0.25">
      <c r="A715" s="62" t="s">
        <v>52</v>
      </c>
      <c r="B715" s="86">
        <v>0.99998693968297803</v>
      </c>
      <c r="C715" s="88">
        <f>AC699</f>
        <v>69.666666666666671</v>
      </c>
      <c r="D715" s="86">
        <f>MAX(B715*1.5*((C715-F699)*500/2),0)</f>
        <v>0</v>
      </c>
      <c r="E715" s="62" t="s">
        <v>56</v>
      </c>
      <c r="F715" s="86">
        <v>3.7359285648439107E-4</v>
      </c>
      <c r="G715" s="86">
        <f>AC700+1*L692</f>
        <v>136.66666666666669</v>
      </c>
      <c r="H715" s="86">
        <f>F715*1.5*((G715-F700)*500/2+(G715-F701)*500+(G715-F702)*500)</f>
        <v>32.969569584747525</v>
      </c>
      <c r="I715" s="62" t="s">
        <v>60</v>
      </c>
      <c r="J715" s="86">
        <v>1.9640899414386998E-6</v>
      </c>
      <c r="K715" s="86">
        <f>AC701+2*L692</f>
        <v>233.66666666666669</v>
      </c>
      <c r="L715" s="86">
        <f>J715*1.5*((K715-G715)*500/2+(K715-G715)*500)</f>
        <v>0.21433131485949811</v>
      </c>
      <c r="M715" s="62" t="s">
        <v>59</v>
      </c>
      <c r="N715" s="86">
        <v>3.2890039511969379E-9</v>
      </c>
      <c r="O715" s="86">
        <f>AC702+3*L692</f>
        <v>299.33333333333337</v>
      </c>
      <c r="P715" s="86">
        <f>N715*1.5*((O715-K715)*500/2)</f>
        <v>8.099172229822462E-5</v>
      </c>
    </row>
    <row r="716" spans="1:20" x14ac:dyDescent="0.25">
      <c r="A716" s="86"/>
      <c r="B716" s="86"/>
      <c r="C716" s="89" t="s">
        <v>89</v>
      </c>
      <c r="D716" s="89">
        <f>SUM(D714:D715)</f>
        <v>0</v>
      </c>
      <c r="E716" s="62" t="s">
        <v>52</v>
      </c>
      <c r="F716" s="86">
        <v>0.99962640243472334</v>
      </c>
      <c r="G716" s="86">
        <f>AC700+0*L692</f>
        <v>124.66666666666667</v>
      </c>
      <c r="H716" s="86">
        <f>F716*1.5*((G716-F700)*500/2+(G716-F701)*500+(G716-F702)*500)</f>
        <v>65725.435960083065</v>
      </c>
      <c r="I716" s="62" t="s">
        <v>56</v>
      </c>
      <c r="J716" s="86">
        <v>1.4867446710046325E-5</v>
      </c>
      <c r="K716" s="86">
        <f>AC701+1*L692</f>
        <v>221.66666666666669</v>
      </c>
      <c r="L716" s="86">
        <f>J716*1.5*((K716-G716)*500/2+(K716-G716)*500)</f>
        <v>1.6224101222338057</v>
      </c>
      <c r="M716" s="62" t="s">
        <v>60</v>
      </c>
      <c r="N716" s="86">
        <v>1.165300129471096E-5</v>
      </c>
      <c r="O716" s="86">
        <f>AC702+2*L692</f>
        <v>287.33333333333337</v>
      </c>
      <c r="P716" s="86">
        <f>N716*1.5*((O716-K716)*500/2)</f>
        <v>0.28695515688225748</v>
      </c>
    </row>
    <row r="717" spans="1:20" x14ac:dyDescent="0.25">
      <c r="A717" s="86"/>
      <c r="B717" s="86"/>
      <c r="C717" s="86"/>
      <c r="D717" s="86"/>
      <c r="E717" s="86"/>
      <c r="F717" s="86"/>
      <c r="G717" s="89" t="s">
        <v>79</v>
      </c>
      <c r="H717" s="89">
        <f>SUM(H714:H716)</f>
        <v>65758.406051166559</v>
      </c>
      <c r="I717" s="62" t="s">
        <v>52</v>
      </c>
      <c r="J717" s="86">
        <v>0.99438359925359221</v>
      </c>
      <c r="K717" s="86">
        <f>AC701+0*L692</f>
        <v>209.66666666666669</v>
      </c>
      <c r="L717" s="86">
        <f>J717*1.5*((K717-G716)*500/2+(K717-G716)*500)</f>
        <v>95087.93167862478</v>
      </c>
      <c r="M717" s="62" t="s">
        <v>56</v>
      </c>
      <c r="N717" s="86">
        <v>7.3213664553179719E-3</v>
      </c>
      <c r="O717" s="86">
        <f>AC702+1*L692</f>
        <v>275.33333333333337</v>
      </c>
      <c r="P717" s="86">
        <f>N717*1.5*((O717-K717)*500/2)</f>
        <v>180.28864896220509</v>
      </c>
    </row>
    <row r="718" spans="1:20" x14ac:dyDescent="0.25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9" t="s">
        <v>79</v>
      </c>
      <c r="L718" s="89">
        <f>SUM(L714:L717)</f>
        <v>95089.768422756883</v>
      </c>
      <c r="M718" s="62" t="s">
        <v>52</v>
      </c>
      <c r="N718" s="86">
        <v>0.9926669771280473</v>
      </c>
      <c r="O718" s="86">
        <f>AC702+0*L692</f>
        <v>263.33333333333337</v>
      </c>
      <c r="P718" s="86">
        <f>N718*1.5*((O718-K717)*500/2)</f>
        <v>19977.422914701961</v>
      </c>
      <c r="Q718" s="179" t="s">
        <v>80</v>
      </c>
      <c r="R718" s="179"/>
      <c r="S718" s="180">
        <f>D716+H717+L718+P719</f>
        <v>181006.17307373727</v>
      </c>
      <c r="T718" s="180"/>
    </row>
    <row r="719" spans="1:20" x14ac:dyDescent="0.25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9" t="s">
        <v>79</v>
      </c>
      <c r="P719" s="89">
        <f>SUM(P714:P718)</f>
        <v>20157.998599813822</v>
      </c>
      <c r="Q719" s="179"/>
      <c r="R719" s="179"/>
      <c r="S719" s="180"/>
      <c r="T719" s="180"/>
    </row>
    <row r="720" spans="1:20" x14ac:dyDescent="0.25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</row>
    <row r="721" spans="1:34" x14ac:dyDescent="0.25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</row>
    <row r="722" spans="1:34" x14ac:dyDescent="0.25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</row>
    <row r="723" spans="1:34" ht="24.75" thickBot="1" x14ac:dyDescent="0.3">
      <c r="O723" s="131" t="s">
        <v>81</v>
      </c>
      <c r="P723" s="131"/>
      <c r="Q723" s="131">
        <f>(R709+P709+M710+S718)/AC702</f>
        <v>1112.9059870707547</v>
      </c>
      <c r="R723" s="131"/>
    </row>
    <row r="724" spans="1:34" x14ac:dyDescent="0.25">
      <c r="A724" s="181" t="s">
        <v>124</v>
      </c>
      <c r="B724" s="182"/>
    </row>
    <row r="725" spans="1:34" ht="15.75" thickBot="1" x14ac:dyDescent="0.3">
      <c r="A725" s="183"/>
      <c r="B725" s="184"/>
    </row>
    <row r="726" spans="1:34" ht="21" x14ac:dyDescent="0.35">
      <c r="A726" s="185" t="s">
        <v>14</v>
      </c>
      <c r="B726" s="185"/>
      <c r="C726" s="165"/>
      <c r="D726" s="165"/>
      <c r="E726" s="165"/>
      <c r="F726" s="165"/>
      <c r="G726" s="165"/>
      <c r="H726" s="165"/>
      <c r="I726" s="165"/>
      <c r="J726" s="165"/>
      <c r="K726" s="165"/>
      <c r="L726" s="165"/>
      <c r="M726" s="165"/>
      <c r="O726" s="166" t="s">
        <v>72</v>
      </c>
      <c r="P726" s="166"/>
      <c r="Q726" s="166"/>
      <c r="R726" s="166"/>
      <c r="S726" s="166"/>
      <c r="T726" s="166"/>
      <c r="U726" s="166"/>
      <c r="V726" s="166"/>
    </row>
    <row r="727" spans="1:34" ht="36" x14ac:dyDescent="0.25">
      <c r="A727" s="4" t="s">
        <v>15</v>
      </c>
      <c r="B727" s="4" t="s">
        <v>16</v>
      </c>
      <c r="C727" s="4" t="s">
        <v>31</v>
      </c>
      <c r="D727" s="6" t="s">
        <v>17</v>
      </c>
      <c r="E727" s="6" t="s">
        <v>18</v>
      </c>
      <c r="F727" s="6" t="s">
        <v>19</v>
      </c>
      <c r="G727" s="6" t="s">
        <v>20</v>
      </c>
      <c r="H727" s="6" t="s">
        <v>21</v>
      </c>
      <c r="I727" s="6" t="s">
        <v>22</v>
      </c>
      <c r="J727" s="6" t="s">
        <v>23</v>
      </c>
      <c r="K727" s="6" t="s">
        <v>24</v>
      </c>
      <c r="L727" s="6" t="s">
        <v>25</v>
      </c>
      <c r="M727" s="6" t="s">
        <v>26</v>
      </c>
      <c r="N727" s="8"/>
      <c r="O727" s="167" t="s">
        <v>32</v>
      </c>
      <c r="P727" s="167" t="s">
        <v>35</v>
      </c>
      <c r="Q727" s="167" t="s">
        <v>66</v>
      </c>
      <c r="R727" s="99" t="s">
        <v>67</v>
      </c>
      <c r="S727" s="99" t="s">
        <v>68</v>
      </c>
      <c r="T727" s="167" t="s">
        <v>69</v>
      </c>
      <c r="U727" s="71" t="s">
        <v>33</v>
      </c>
      <c r="V727" s="99" t="s">
        <v>70</v>
      </c>
    </row>
    <row r="728" spans="1:34" x14ac:dyDescent="0.25">
      <c r="A728" s="3" t="s">
        <v>27</v>
      </c>
      <c r="B728" s="3">
        <v>0</v>
      </c>
      <c r="C728" s="3">
        <v>0.3</v>
      </c>
      <c r="D728" s="3">
        <v>243</v>
      </c>
      <c r="E728" s="3">
        <v>1.73</v>
      </c>
      <c r="F728" s="3">
        <v>5</v>
      </c>
      <c r="G728" s="169">
        <v>12</v>
      </c>
      <c r="H728" s="3">
        <v>1820</v>
      </c>
      <c r="I728" s="169">
        <v>19645</v>
      </c>
      <c r="J728" s="3">
        <v>20</v>
      </c>
      <c r="K728" s="3">
        <v>40</v>
      </c>
      <c r="L728" s="3">
        <v>500</v>
      </c>
      <c r="M728" s="3">
        <v>1000</v>
      </c>
      <c r="O728" s="168"/>
      <c r="P728" s="168"/>
      <c r="Q728" s="168"/>
      <c r="R728" s="72" t="s">
        <v>71</v>
      </c>
      <c r="S728" s="72" t="s">
        <v>71</v>
      </c>
      <c r="T728" s="168"/>
      <c r="U728" s="73">
        <v>500</v>
      </c>
      <c r="V728" s="3">
        <v>1.5</v>
      </c>
    </row>
    <row r="729" spans="1:34" x14ac:dyDescent="0.25">
      <c r="A729" s="3" t="s">
        <v>28</v>
      </c>
      <c r="B729" s="3">
        <v>0</v>
      </c>
      <c r="C729" s="3">
        <v>0.3</v>
      </c>
      <c r="D729" s="3">
        <v>254</v>
      </c>
      <c r="E729" s="3">
        <v>1.88</v>
      </c>
      <c r="F729" s="3">
        <v>3</v>
      </c>
      <c r="G729" s="170"/>
      <c r="H729" s="3">
        <v>2720</v>
      </c>
      <c r="I729" s="170"/>
      <c r="J729" s="5"/>
      <c r="K729" s="5"/>
      <c r="L729" s="5"/>
      <c r="M729" s="5"/>
      <c r="O729" s="74">
        <v>1</v>
      </c>
      <c r="P729" s="74">
        <v>106</v>
      </c>
      <c r="Q729" s="74">
        <v>110</v>
      </c>
      <c r="R729" s="74">
        <v>6</v>
      </c>
      <c r="S729" s="74">
        <v>5</v>
      </c>
      <c r="T729" s="74">
        <f>R729*$U$5/60+S729</f>
        <v>55</v>
      </c>
      <c r="U729" s="75"/>
    </row>
    <row r="730" spans="1:34" x14ac:dyDescent="0.25">
      <c r="A730" s="3" t="s">
        <v>29</v>
      </c>
      <c r="B730" s="3">
        <v>0</v>
      </c>
      <c r="C730" s="3">
        <v>0.3</v>
      </c>
      <c r="D730" s="3">
        <v>143</v>
      </c>
      <c r="E730" s="3">
        <v>2.4300000000000002</v>
      </c>
      <c r="F730" s="3">
        <v>8</v>
      </c>
      <c r="G730" s="170"/>
      <c r="H730" s="3">
        <v>3700</v>
      </c>
      <c r="I730" s="170"/>
      <c r="J730" s="5"/>
      <c r="K730" s="140" t="s">
        <v>73</v>
      </c>
      <c r="L730" s="141">
        <v>12</v>
      </c>
      <c r="M730" s="140" t="s">
        <v>74</v>
      </c>
      <c r="N730" s="141">
        <v>19645</v>
      </c>
      <c r="O730" s="74">
        <v>2</v>
      </c>
      <c r="P730" s="74">
        <v>76</v>
      </c>
      <c r="Q730" s="74">
        <v>40</v>
      </c>
      <c r="R730" s="74">
        <v>9</v>
      </c>
      <c r="S730" s="74">
        <v>2</v>
      </c>
      <c r="T730" s="74">
        <f t="shared" ref="T730:T732" si="76">R730*$U$5/60+S730</f>
        <v>77</v>
      </c>
      <c r="U730" s="75"/>
    </row>
    <row r="731" spans="1:34" x14ac:dyDescent="0.25">
      <c r="A731" s="3" t="s">
        <v>30</v>
      </c>
      <c r="B731" s="3">
        <v>0</v>
      </c>
      <c r="C731" s="3">
        <v>0.3</v>
      </c>
      <c r="D731" s="3">
        <v>449</v>
      </c>
      <c r="E731" s="3">
        <v>2.5299999999999998</v>
      </c>
      <c r="F731" s="3">
        <v>4</v>
      </c>
      <c r="G731" s="171"/>
      <c r="H731" s="3">
        <v>4320</v>
      </c>
      <c r="I731" s="171"/>
      <c r="J731" s="5"/>
      <c r="K731" s="140"/>
      <c r="L731" s="141"/>
      <c r="M731" s="140"/>
      <c r="N731" s="141"/>
      <c r="O731" s="74">
        <v>3</v>
      </c>
      <c r="P731" s="74">
        <v>95</v>
      </c>
      <c r="Q731" s="74">
        <v>67</v>
      </c>
      <c r="R731" s="74">
        <v>5</v>
      </c>
      <c r="S731" s="74">
        <v>4</v>
      </c>
      <c r="T731" s="74">
        <f t="shared" si="76"/>
        <v>45.666666666666664</v>
      </c>
      <c r="U731" s="75"/>
    </row>
    <row r="732" spans="1:34" ht="15.75" thickBo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O732" s="74">
        <v>4</v>
      </c>
      <c r="P732" s="74">
        <v>140</v>
      </c>
      <c r="Q732" s="94">
        <v>85</v>
      </c>
      <c r="R732" s="94">
        <v>8</v>
      </c>
      <c r="S732" s="94">
        <v>3</v>
      </c>
      <c r="T732" s="74">
        <f t="shared" si="76"/>
        <v>69.666666666666671</v>
      </c>
    </row>
    <row r="733" spans="1:34" ht="15" customHeight="1" x14ac:dyDescent="0.25">
      <c r="A733" s="142" t="s">
        <v>101</v>
      </c>
      <c r="B733" s="144" t="s">
        <v>107</v>
      </c>
      <c r="C733" s="144"/>
      <c r="D733" s="144"/>
      <c r="E733" s="144"/>
      <c r="F733" s="20" t="s">
        <v>27</v>
      </c>
      <c r="G733" s="20" t="s">
        <v>28</v>
      </c>
      <c r="H733" s="20" t="s">
        <v>29</v>
      </c>
      <c r="I733" s="20" t="s">
        <v>30</v>
      </c>
    </row>
    <row r="734" spans="1:34" ht="15.75" customHeight="1" thickBot="1" x14ac:dyDescent="0.3">
      <c r="A734" s="143"/>
      <c r="B734" s="145"/>
      <c r="C734" s="145"/>
      <c r="D734" s="145"/>
      <c r="E734" s="145"/>
      <c r="F734" s="20">
        <v>168</v>
      </c>
      <c r="G734" s="26">
        <v>84</v>
      </c>
      <c r="H734" s="26">
        <v>84</v>
      </c>
      <c r="I734" s="26">
        <v>252</v>
      </c>
    </row>
    <row r="735" spans="1:34" ht="15.75" customHeight="1" thickBot="1" x14ac:dyDescent="0.3">
      <c r="A735" s="143"/>
      <c r="B735" s="145"/>
      <c r="C735" s="145"/>
      <c r="D735" s="145"/>
      <c r="E735" s="145"/>
      <c r="F735" s="7"/>
      <c r="G735" s="146" t="s">
        <v>27</v>
      </c>
      <c r="H735" s="147"/>
      <c r="I735" s="147"/>
      <c r="J735" s="147"/>
      <c r="K735" s="148"/>
      <c r="L735" s="149" t="s">
        <v>28</v>
      </c>
      <c r="M735" s="150"/>
      <c r="N735" s="150"/>
      <c r="O735" s="150"/>
      <c r="P735" s="151"/>
      <c r="Q735" s="152" t="s">
        <v>29</v>
      </c>
      <c r="R735" s="153"/>
      <c r="S735" s="153"/>
      <c r="T735" s="153"/>
      <c r="U735" s="154"/>
      <c r="V735" s="155" t="s">
        <v>30</v>
      </c>
      <c r="W735" s="156"/>
      <c r="X735" s="156"/>
      <c r="Y735" s="156"/>
      <c r="Z735" s="157"/>
      <c r="AA735" s="158" t="s">
        <v>42</v>
      </c>
      <c r="AB735" s="159"/>
      <c r="AC735" s="160" t="s">
        <v>44</v>
      </c>
      <c r="AD735" s="162" t="s">
        <v>47</v>
      </c>
      <c r="AE735" s="163"/>
      <c r="AF735" s="163"/>
      <c r="AG735" s="164"/>
      <c r="AH735" s="138" t="s">
        <v>62</v>
      </c>
    </row>
    <row r="736" spans="1:34" ht="36.75" x14ac:dyDescent="0.25">
      <c r="A736" s="21" t="s">
        <v>32</v>
      </c>
      <c r="B736" s="22" t="s">
        <v>37</v>
      </c>
      <c r="C736" s="23" t="s">
        <v>33</v>
      </c>
      <c r="D736" s="22" t="s">
        <v>38</v>
      </c>
      <c r="E736" s="22" t="s">
        <v>34</v>
      </c>
      <c r="F736" s="25" t="s">
        <v>35</v>
      </c>
      <c r="G736" s="27" t="s">
        <v>39</v>
      </c>
      <c r="H736" s="10" t="s">
        <v>40</v>
      </c>
      <c r="I736" s="10" t="s">
        <v>45</v>
      </c>
      <c r="J736" s="10" t="s">
        <v>46</v>
      </c>
      <c r="K736" s="28" t="s">
        <v>41</v>
      </c>
      <c r="L736" s="30" t="s">
        <v>39</v>
      </c>
      <c r="M736" s="13" t="s">
        <v>40</v>
      </c>
      <c r="N736" s="13" t="s">
        <v>45</v>
      </c>
      <c r="O736" s="13" t="s">
        <v>46</v>
      </c>
      <c r="P736" s="31" t="s">
        <v>41</v>
      </c>
      <c r="Q736" s="33" t="s">
        <v>39</v>
      </c>
      <c r="R736" s="12" t="s">
        <v>40</v>
      </c>
      <c r="S736" s="12" t="s">
        <v>45</v>
      </c>
      <c r="T736" s="12" t="s">
        <v>46</v>
      </c>
      <c r="U736" s="34" t="s">
        <v>41</v>
      </c>
      <c r="V736" s="36" t="s">
        <v>39</v>
      </c>
      <c r="W736" s="11" t="s">
        <v>40</v>
      </c>
      <c r="X736" s="11" t="s">
        <v>45</v>
      </c>
      <c r="Y736" s="11" t="s">
        <v>46</v>
      </c>
      <c r="Z736" s="37" t="s">
        <v>41</v>
      </c>
      <c r="AA736" s="39" t="s">
        <v>41</v>
      </c>
      <c r="AB736" s="40" t="s">
        <v>43</v>
      </c>
      <c r="AC736" s="161"/>
      <c r="AD736" s="43" t="s">
        <v>27</v>
      </c>
      <c r="AE736" s="1" t="s">
        <v>28</v>
      </c>
      <c r="AF736" s="1" t="s">
        <v>29</v>
      </c>
      <c r="AG736" s="1" t="s">
        <v>30</v>
      </c>
      <c r="AH736" s="139"/>
    </row>
    <row r="737" spans="1:34" x14ac:dyDescent="0.25">
      <c r="A737" s="24">
        <v>4</v>
      </c>
      <c r="B737" s="9">
        <v>8</v>
      </c>
      <c r="C737" s="9">
        <v>500</v>
      </c>
      <c r="D737" s="9">
        <v>3</v>
      </c>
      <c r="E737" s="48">
        <f>B737*C737/60+D737</f>
        <v>69.666666666666671</v>
      </c>
      <c r="F737" s="100">
        <v>140</v>
      </c>
      <c r="G737" s="49">
        <f>B$5*(1-AD737*C$5)</f>
        <v>0</v>
      </c>
      <c r="H737" s="50">
        <f>G737+E737</f>
        <v>69.666666666666671</v>
      </c>
      <c r="I737" s="15">
        <f>(H737/D$5)^E$5</f>
        <v>0.11516869637804684</v>
      </c>
      <c r="J737" s="15">
        <f>(G737/D$5)^E$5</f>
        <v>0</v>
      </c>
      <c r="K737" s="29">
        <f>1-EXP(J737-I737)</f>
        <v>0.10878421365041502</v>
      </c>
      <c r="L737" s="51">
        <f>B$6*(1-AE737*C$6)</f>
        <v>0</v>
      </c>
      <c r="M737" s="52">
        <f>L737+E737</f>
        <v>69.666666666666671</v>
      </c>
      <c r="N737" s="17">
        <f>(M737/D$6)^E$6</f>
        <v>8.7861714115895329E-2</v>
      </c>
      <c r="O737" s="17">
        <f>(L737/D$6)^E$6</f>
        <v>0</v>
      </c>
      <c r="P737" s="32">
        <f>1-EXP(O737-N737)</f>
        <v>8.4112477717763534E-2</v>
      </c>
      <c r="Q737" s="53">
        <f>B$7*(1-AF737*C$7)</f>
        <v>0</v>
      </c>
      <c r="R737" s="54">
        <f>Q737+E737</f>
        <v>69.666666666666671</v>
      </c>
      <c r="S737" s="16">
        <f>(R737/D$7)^E$7</f>
        <v>0.17421448251746105</v>
      </c>
      <c r="T737" s="16">
        <f>(Q737/D$7)^E$7</f>
        <v>0</v>
      </c>
      <c r="U737" s="35">
        <f>1-EXP(T737-S737)</f>
        <v>0.15988331200899064</v>
      </c>
      <c r="V737" s="55">
        <f>B$8*(1-AG737*C$8)</f>
        <v>0</v>
      </c>
      <c r="W737" s="56">
        <f>V737+E737</f>
        <v>69.666666666666671</v>
      </c>
      <c r="X737" s="18">
        <f>(W737/D$8)^E$8</f>
        <v>8.9674731846197935E-3</v>
      </c>
      <c r="Y737" s="18">
        <f>(V737/D$8)^E$8</f>
        <v>0</v>
      </c>
      <c r="Z737" s="38">
        <f>1-EXP(Y737-X737)</f>
        <v>8.9273853154187011E-3</v>
      </c>
      <c r="AA737" s="41">
        <f>K737*P737*U737*Z737</f>
        <v>1.3060317021926209E-5</v>
      </c>
      <c r="AB737" s="42">
        <f>1-AA737</f>
        <v>0.99998693968297803</v>
      </c>
      <c r="AC737" s="47">
        <f>(AD737*F$5+AE737*F$6+AF737*F$7+AG737*F$8)+E737</f>
        <v>69.666666666666671</v>
      </c>
      <c r="AD737" s="43">
        <v>0</v>
      </c>
      <c r="AE737" s="1">
        <v>0</v>
      </c>
      <c r="AF737" s="1">
        <v>0</v>
      </c>
      <c r="AG737" s="1">
        <v>0</v>
      </c>
      <c r="AH737" s="74">
        <v>85</v>
      </c>
    </row>
    <row r="738" spans="1:34" x14ac:dyDescent="0.25">
      <c r="A738" s="76">
        <v>1</v>
      </c>
      <c r="B738" s="58">
        <v>6</v>
      </c>
      <c r="C738" s="9">
        <v>500</v>
      </c>
      <c r="D738" s="58">
        <v>5</v>
      </c>
      <c r="E738" s="48">
        <f t="shared" ref="E738:E740" si="77">B738*C738/60+D738</f>
        <v>55</v>
      </c>
      <c r="F738" s="100">
        <v>106</v>
      </c>
      <c r="G738" s="49">
        <f>H737*(1-AD738*C$5)</f>
        <v>69.666666666666671</v>
      </c>
      <c r="H738" s="50">
        <f>G738+E738</f>
        <v>124.66666666666667</v>
      </c>
      <c r="I738" s="15">
        <f>(H738/D$5)^E$5</f>
        <v>0.31517317577772647</v>
      </c>
      <c r="J738" s="15">
        <f>(G738/D$5)^E$5</f>
        <v>0.11516869637804684</v>
      </c>
      <c r="K738" s="29">
        <f>1-EXP(J738-I738)</f>
        <v>0.18127291433607728</v>
      </c>
      <c r="L738" s="51">
        <f>M737*(1-AE738*C$6)</f>
        <v>69.666666666666671</v>
      </c>
      <c r="M738" s="52">
        <f>L738+E738</f>
        <v>124.66666666666667</v>
      </c>
      <c r="N738" s="17">
        <f>(M738/D$6)^E$6</f>
        <v>0.26237549202961352</v>
      </c>
      <c r="O738" s="17">
        <f>(L738/D$6)^E$6</f>
        <v>8.7861714115895329E-2</v>
      </c>
      <c r="P738" s="32">
        <f>1-EXP(O738-N738)</f>
        <v>0.16013471744190411</v>
      </c>
      <c r="Q738" s="53">
        <f>R737*(1-AF738*C$7)</f>
        <v>69.666666666666671</v>
      </c>
      <c r="R738" s="54">
        <f>Q738+E738</f>
        <v>124.66666666666667</v>
      </c>
      <c r="S738" s="16">
        <f>(R738/D$7)^E$7</f>
        <v>0.71648445673009076</v>
      </c>
      <c r="T738" s="16">
        <f>(Q738/D$7)^E$7</f>
        <v>0.17421448251746105</v>
      </c>
      <c r="U738" s="35">
        <f>1-EXP(T738-S738)</f>
        <v>0.41857307087912443</v>
      </c>
      <c r="V738" s="55">
        <f>W737*(1-AG738*C$8)</f>
        <v>69.666666666666671</v>
      </c>
      <c r="W738" s="56">
        <f>V738+E738</f>
        <v>124.66666666666667</v>
      </c>
      <c r="X738" s="18">
        <f>(W738/D$8)^E$8</f>
        <v>3.9089951931753103E-2</v>
      </c>
      <c r="Y738" s="18">
        <f>(V738/D$8)^E$8</f>
        <v>8.9674731846197935E-3</v>
      </c>
      <c r="Z738" s="38">
        <f>1-EXP(Y738-X738)</f>
        <v>2.967331812605134E-2</v>
      </c>
      <c r="AA738" s="41">
        <f>K738*P738*U738*Z738</f>
        <v>3.6054195704698238E-4</v>
      </c>
      <c r="AB738" s="42">
        <f>1-AA738</f>
        <v>0.99963945804295307</v>
      </c>
      <c r="AC738" s="47">
        <f>AF738*F$7+E738+AC737</f>
        <v>124.66666666666667</v>
      </c>
      <c r="AD738" s="43">
        <v>0</v>
      </c>
      <c r="AE738" s="1">
        <v>0</v>
      </c>
      <c r="AF738" s="1">
        <v>0</v>
      </c>
      <c r="AG738" s="1">
        <v>0</v>
      </c>
      <c r="AH738" s="74">
        <v>110</v>
      </c>
    </row>
    <row r="739" spans="1:34" x14ac:dyDescent="0.25">
      <c r="A739" s="24">
        <v>3</v>
      </c>
      <c r="B739" s="9">
        <v>5</v>
      </c>
      <c r="C739" s="58">
        <v>500</v>
      </c>
      <c r="D739" s="58">
        <v>4</v>
      </c>
      <c r="E739" s="48">
        <f t="shared" si="77"/>
        <v>45.666666666666664</v>
      </c>
      <c r="F739" s="100">
        <v>95</v>
      </c>
      <c r="G739" s="68">
        <f>H738*(1-AD739*C$5)</f>
        <v>124.66666666666667</v>
      </c>
      <c r="H739" s="69">
        <f>G739+E739</f>
        <v>170.33333333333334</v>
      </c>
      <c r="I739" s="70">
        <f>(H739/D$5)^E$5</f>
        <v>0.54081600193052237</v>
      </c>
      <c r="J739" s="70">
        <f>(G739/D$5)^E$5</f>
        <v>0.31517317577772647</v>
      </c>
      <c r="K739" s="29">
        <f>1-EXP(J739-I739)</f>
        <v>0.20199692340120246</v>
      </c>
      <c r="L739" s="51">
        <f>M738*(1-AE739*C$6)</f>
        <v>87.266666666666666</v>
      </c>
      <c r="M739" s="52">
        <f>L739+E739</f>
        <v>132.93333333333334</v>
      </c>
      <c r="N739" s="17">
        <f>(M739/D$6)^E$6</f>
        <v>0.29603586895842493</v>
      </c>
      <c r="O739" s="17">
        <f>(L739/D$6)^E$6</f>
        <v>0.13418611561976262</v>
      </c>
      <c r="P739" s="32">
        <f>1-EXP(O739-N739)</f>
        <v>0.14943100990868496</v>
      </c>
      <c r="Q739" s="53">
        <f>R738*(1-AF739*C$7)</f>
        <v>87.266666666666666</v>
      </c>
      <c r="R739" s="54">
        <f>Q739+E739</f>
        <v>132.93333333333334</v>
      </c>
      <c r="S739" s="16">
        <f>(R739/D$7)^E$7</f>
        <v>0.83745946166039797</v>
      </c>
      <c r="T739" s="16">
        <f>(Q739/D$7)^E$7</f>
        <v>0.30115842040528412</v>
      </c>
      <c r="U739" s="35">
        <f>1-EXP(T739-S739)</f>
        <v>0.41509219429478805</v>
      </c>
      <c r="V739" s="55">
        <f>W738*(1-AG739*C$8)</f>
        <v>124.66666666666667</v>
      </c>
      <c r="W739" s="56">
        <f>V739+E739</f>
        <v>170.33333333333334</v>
      </c>
      <c r="X739" s="18">
        <f>(W739/D$8)^E$8</f>
        <v>8.6100338756432887E-2</v>
      </c>
      <c r="Y739" s="18">
        <f>(V739/D$8)^E$8</f>
        <v>3.9089951931753103E-2</v>
      </c>
      <c r="Z739" s="38">
        <f>1-EXP(Y739-X739)</f>
        <v>4.5922512296690643E-2</v>
      </c>
      <c r="AA739" s="41">
        <f>K739*P739*U739*Z739</f>
        <v>5.7538123245380135E-4</v>
      </c>
      <c r="AB739" s="42">
        <f>1-AA739</f>
        <v>0.99942461876754618</v>
      </c>
      <c r="AC739" s="47">
        <f>(AF739*F$7)+E739+AC738</f>
        <v>178.33333333333334</v>
      </c>
      <c r="AD739" s="77">
        <v>0</v>
      </c>
      <c r="AE739" s="78">
        <v>1</v>
      </c>
      <c r="AF739" s="78">
        <v>1</v>
      </c>
      <c r="AG739" s="78">
        <v>0</v>
      </c>
      <c r="AH739" s="74">
        <v>67</v>
      </c>
    </row>
    <row r="740" spans="1:34" ht="15.75" thickBot="1" x14ac:dyDescent="0.3">
      <c r="A740" s="57">
        <v>2</v>
      </c>
      <c r="B740" s="58">
        <v>9</v>
      </c>
      <c r="C740" s="58">
        <v>500</v>
      </c>
      <c r="D740" s="9">
        <v>2</v>
      </c>
      <c r="E740" s="48">
        <f t="shared" si="77"/>
        <v>77</v>
      </c>
      <c r="F740" s="100">
        <v>76</v>
      </c>
      <c r="G740" s="68">
        <f>H739*(1-AD740*C$5)</f>
        <v>119.23333333333333</v>
      </c>
      <c r="H740" s="69">
        <f>G740+E740</f>
        <v>196.23333333333335</v>
      </c>
      <c r="I740" s="70">
        <f>(H740/D$5)^E$5</f>
        <v>0.69087274166660284</v>
      </c>
      <c r="J740" s="70">
        <f>(G740/D$5)^E$5</f>
        <v>0.29178915240732939</v>
      </c>
      <c r="K740" s="29">
        <f>1-EXP(J740-I740)</f>
        <v>0.32906538391816376</v>
      </c>
      <c r="L740" s="51">
        <f>M739*(1-AE740*C$6)</f>
        <v>93.053333333333327</v>
      </c>
      <c r="M740" s="52">
        <f>L740+E740</f>
        <v>170.05333333333334</v>
      </c>
      <c r="N740" s="17">
        <f>(M740/D$6)^E$6</f>
        <v>0.47034084314905283</v>
      </c>
      <c r="O740" s="17">
        <f>(L740/D$6)^E$6</f>
        <v>0.15140096749268256</v>
      </c>
      <c r="P740" s="32">
        <f>1-EXP(O740-N740)</f>
        <v>0.27308074646452829</v>
      </c>
      <c r="Q740" s="53">
        <f>R739*(1-AF740*C$7)</f>
        <v>93.053333333333327</v>
      </c>
      <c r="R740" s="54">
        <f>Q740+E740</f>
        <v>170.05333333333334</v>
      </c>
      <c r="S740" s="16">
        <f>(R740/D$7)^E$7</f>
        <v>1.5235451944421441</v>
      </c>
      <c r="T740" s="16">
        <f>(Q740/D$7)^E$7</f>
        <v>0.35200759243004098</v>
      </c>
      <c r="U740" s="35">
        <f>1-EXP(T740-S740)</f>
        <v>0.6901099128680086</v>
      </c>
      <c r="V740" s="55">
        <f>W739*(1-AG740*C$8)</f>
        <v>170.33333333333334</v>
      </c>
      <c r="W740" s="56">
        <f>V740+E740</f>
        <v>247.33333333333334</v>
      </c>
      <c r="X740" s="18">
        <f>(W740/D$8)^E$8</f>
        <v>0.22121871391987213</v>
      </c>
      <c r="Y740" s="18">
        <f>(V740/D$8)^E$8</f>
        <v>8.6100338756432887E-2</v>
      </c>
      <c r="Z740" s="38">
        <f>1-EXP(Y740-X740)</f>
        <v>0.1263875084545022</v>
      </c>
      <c r="AA740" s="41">
        <f>K740*P740*U740*Z740</f>
        <v>7.837827455269326E-3</v>
      </c>
      <c r="AB740" s="42">
        <f>1-AA740</f>
        <v>0.99216217254473071</v>
      </c>
      <c r="AC740" s="47">
        <f>(AF740*F$7)+E740+AC739</f>
        <v>263.33333333333337</v>
      </c>
      <c r="AD740" s="80">
        <v>1</v>
      </c>
      <c r="AE740" s="45">
        <v>1</v>
      </c>
      <c r="AF740" s="81">
        <v>1</v>
      </c>
      <c r="AG740" s="45">
        <v>0</v>
      </c>
      <c r="AH740" s="94">
        <v>40</v>
      </c>
    </row>
    <row r="741" spans="1:34" ht="18.75" x14ac:dyDescent="0.3">
      <c r="A741" s="132" t="s">
        <v>53</v>
      </c>
      <c r="B741" s="132"/>
      <c r="C741" s="132"/>
      <c r="D741" s="132"/>
      <c r="E741" s="132"/>
      <c r="F741" s="132"/>
      <c r="G741" s="132"/>
      <c r="H741" s="132"/>
      <c r="I741" s="132"/>
      <c r="J741" s="132"/>
      <c r="AG741" s="46"/>
    </row>
    <row r="742" spans="1:34" ht="15.75" x14ac:dyDescent="0.25">
      <c r="A742" s="19" t="s">
        <v>82</v>
      </c>
      <c r="B742" s="60" t="s">
        <v>49</v>
      </c>
      <c r="C742" s="61" t="s">
        <v>50</v>
      </c>
      <c r="D742" s="19" t="s">
        <v>58</v>
      </c>
      <c r="E742" s="60" t="s">
        <v>57</v>
      </c>
      <c r="F742" s="61" t="s">
        <v>50</v>
      </c>
      <c r="G742" s="19" t="s">
        <v>54</v>
      </c>
      <c r="H742" s="60" t="s">
        <v>61</v>
      </c>
      <c r="I742" s="61" t="s">
        <v>50</v>
      </c>
      <c r="J742" s="19" t="s">
        <v>48</v>
      </c>
      <c r="K742" s="83" t="s">
        <v>84</v>
      </c>
      <c r="L742" s="61" t="s">
        <v>50</v>
      </c>
      <c r="M742" s="61" t="s">
        <v>85</v>
      </c>
      <c r="O742" s="174" t="s">
        <v>64</v>
      </c>
      <c r="P742" s="174"/>
      <c r="Q742" s="175" t="s">
        <v>109</v>
      </c>
      <c r="R742" s="175"/>
    </row>
    <row r="743" spans="1:34" ht="24.75" x14ac:dyDescent="0.25">
      <c r="A743" s="61" t="s">
        <v>51</v>
      </c>
      <c r="B743" s="1">
        <f>AA737</f>
        <v>1.3060317021926209E-5</v>
      </c>
      <c r="C743" s="59">
        <f>MAX(AC737+1*L730-F737,0)</f>
        <v>0</v>
      </c>
      <c r="D743" s="62" t="s">
        <v>55</v>
      </c>
      <c r="E743" s="1">
        <f>AA737*AA738</f>
        <v>4.7087922587392923E-9</v>
      </c>
      <c r="F743" s="1">
        <f>MAX(AC738+2*L730-F738,0)</f>
        <v>42.666666666666686</v>
      </c>
      <c r="G743" s="62" t="s">
        <v>59</v>
      </c>
      <c r="H743" s="1">
        <f>AA737*AA738*AA739</f>
        <v>2.7093506932023331E-12</v>
      </c>
      <c r="I743" s="1">
        <f>AC739+3*L730-F739</f>
        <v>119.33333333333334</v>
      </c>
      <c r="J743" s="62" t="s">
        <v>83</v>
      </c>
      <c r="K743" s="1">
        <f>AA737*AA738*AA739*AA740</f>
        <v>2.1235423249134227E-14</v>
      </c>
      <c r="L743" s="1">
        <f>AC740+4*L730-F740</f>
        <v>235.33333333333337</v>
      </c>
      <c r="M743" s="1">
        <f>B743*C743*AH737+E743*F743*AH738+H743*I743*AH739+K743*L743*AH740</f>
        <v>2.2121793725709657E-5</v>
      </c>
      <c r="O743" s="1" t="s">
        <v>27</v>
      </c>
      <c r="P743" s="1">
        <f>H728</f>
        <v>1820</v>
      </c>
      <c r="Q743" s="1">
        <f>(K737*(1-P737)*(1-U737)*(1-Z737))+(P737*(1-K737)*(1-U737)*(1-Z737))+(U737*(1-K737)*(1-P737)*(1-Z737))+(Z737*(1-K737)*(1-P737)*(1-U737))</f>
        <v>0.28083409477630866</v>
      </c>
      <c r="R743" s="1">
        <f>Q743*(L$7*(J$5*K$5+L$5)+I$5)</f>
        <v>9897.9976703909997</v>
      </c>
    </row>
    <row r="744" spans="1:34" ht="24.75" x14ac:dyDescent="0.25">
      <c r="A744" s="62" t="s">
        <v>52</v>
      </c>
      <c r="B744" s="1">
        <f>AB737</f>
        <v>0.99998693968297803</v>
      </c>
      <c r="C744" s="59">
        <f>MAX(AC737-F737,0)</f>
        <v>0</v>
      </c>
      <c r="D744" s="62" t="s">
        <v>56</v>
      </c>
      <c r="E744" s="1">
        <f>AA737*AB738+AA738*AB737</f>
        <v>3.7359285648439107E-4</v>
      </c>
      <c r="F744" s="1">
        <f>MAX(AC738+1*L730-F738,0)</f>
        <v>30.666666666666686</v>
      </c>
      <c r="G744" s="62" t="s">
        <v>60</v>
      </c>
      <c r="H744" s="1">
        <f>AA737*AA738*AB739+AA738*AA739*AB737+AA737*AA739*AB738</f>
        <v>2.1966440110797118E-7</v>
      </c>
      <c r="I744" s="1">
        <f>AC739+2*L730-F739</f>
        <v>107.33333333333334</v>
      </c>
      <c r="J744" s="62" t="s">
        <v>59</v>
      </c>
      <c r="K744">
        <f>AB737*AA738*AA739*AA740+AB738*AA737*AA739*AA740*+AB739*AA737*AA738*AA740+AB740*AA737*AA738*AA739</f>
        <v>1.6286169401332703E-9</v>
      </c>
      <c r="L744" s="1">
        <f>AC740+3*L730-F740</f>
        <v>223.33333333333337</v>
      </c>
      <c r="M744" s="1">
        <f>B744*C744*AH737+E744*F744*AH738+H744*I744*AH739+K744*L744*AH740</f>
        <v>1.2618474647818463</v>
      </c>
      <c r="O744" s="1" t="s">
        <v>28</v>
      </c>
      <c r="P744" s="1">
        <f>2*H729</f>
        <v>5440</v>
      </c>
      <c r="Q744" s="1">
        <f t="shared" ref="Q744:Q746" si="78">(K738*(1-P738)*(1-U738)*(1-Z738))+(P738*(1-K738)*(1-U738)*(1-Z738))+(U738*(1-K738)*(1-P738)*(1-Z738))+(Z738*(1-K738)*(1-P738)*(1-U738))</f>
        <v>0.45100181571012737</v>
      </c>
      <c r="R744" s="1">
        <f t="shared" ref="R744:R746" si="79">Q744*(L$7*(J$5*K$5+L$5)+I$5)</f>
        <v>15895.558994703439</v>
      </c>
    </row>
    <row r="745" spans="1:34" ht="24.75" x14ac:dyDescent="0.25">
      <c r="A745" s="1"/>
      <c r="B745" s="1"/>
      <c r="C745" s="1"/>
      <c r="D745" s="62" t="s">
        <v>52</v>
      </c>
      <c r="E745" s="1">
        <f>AB737*AB738</f>
        <v>0.99962640243472334</v>
      </c>
      <c r="F745" s="59">
        <f>MAX(AC738-F738,0)</f>
        <v>18.666666666666671</v>
      </c>
      <c r="G745" s="62" t="s">
        <v>56</v>
      </c>
      <c r="H745" s="1">
        <f>AA737*AB738*AB739+AA738*AB737*AB739*+AA739*AB737*AB738</f>
        <v>1.3255345826349805E-5</v>
      </c>
      <c r="I745" s="1">
        <f>AC739+1*L730-F739</f>
        <v>95.333333333333343</v>
      </c>
      <c r="J745" s="62" t="s">
        <v>60</v>
      </c>
      <c r="K745" s="1">
        <f>AA737*AA738*AB739*AB740 + AA737*AA739*AB738*AB740 + AA737*AA740*AB738*AB739 + AA738*AA739*AB737*AB740 + AA738*AA740*AB737*AB739 + AA739*AA740*AB737*AB738</f>
        <v>7.6524682444013052E-6</v>
      </c>
      <c r="L745" s="1">
        <f>AC740+2*L730-F740</f>
        <v>211.33333333333337</v>
      </c>
      <c r="M745" s="1">
        <f>B745*C745*AH737+E745*F745*AH738+H745*I745*AH739+K745*L745*AH740</f>
        <v>2052.7155681764334</v>
      </c>
      <c r="O745" s="1" t="s">
        <v>29</v>
      </c>
      <c r="P745" s="1">
        <f>2*(F730*(J728*K728+L728)+H730)</f>
        <v>28200</v>
      </c>
      <c r="Q745" s="1">
        <f t="shared" si="78"/>
        <v>0.44946434029843818</v>
      </c>
      <c r="R745" s="1">
        <f t="shared" si="79"/>
        <v>15841.370673818454</v>
      </c>
    </row>
    <row r="746" spans="1:34" ht="24.75" x14ac:dyDescent="0.25">
      <c r="A746" s="1"/>
      <c r="B746" s="1"/>
      <c r="C746" s="1"/>
      <c r="D746" s="1"/>
      <c r="E746" s="1"/>
      <c r="F746" s="1"/>
      <c r="G746" s="62" t="s">
        <v>52</v>
      </c>
      <c r="H746" s="1">
        <f>AB737*AB738*AB739</f>
        <v>0.99905123616329705</v>
      </c>
      <c r="I746" s="63">
        <f>AC739-F739</f>
        <v>83.333333333333343</v>
      </c>
      <c r="J746" s="62" t="s">
        <v>56</v>
      </c>
      <c r="K746" s="1">
        <f>AA737*AB738*AB739*AB740+AA738*AB737*AB739*AB740+AA739*AB737*AB738*AB740+AA740*AB737*AB738*AB739</f>
        <v>8.7715008520789228E-3</v>
      </c>
      <c r="L746" s="1">
        <f>AC740+1*L730-F740</f>
        <v>199.33333333333337</v>
      </c>
      <c r="M746" s="1">
        <f>B746*C746*AH737+E746*F746*AH738+H746*I746*AH739+K746*L746*AH740</f>
        <v>5647.9741687056512</v>
      </c>
      <c r="O746" s="1" t="s">
        <v>30</v>
      </c>
      <c r="P746" s="1">
        <v>0</v>
      </c>
      <c r="Q746" s="1">
        <f t="shared" si="78"/>
        <v>0.42750004005255005</v>
      </c>
      <c r="R746" s="1">
        <f t="shared" si="79"/>
        <v>15067.238911652126</v>
      </c>
    </row>
    <row r="747" spans="1:34" ht="30" x14ac:dyDescent="0.25">
      <c r="I747" s="84"/>
      <c r="J747" s="62" t="s">
        <v>52</v>
      </c>
      <c r="K747" s="85">
        <f>AB737*AB738*AB739*AB740</f>
        <v>0.99122084495527563</v>
      </c>
      <c r="L747" s="1">
        <f>AC740+0*L730-F740</f>
        <v>187.33333333333337</v>
      </c>
      <c r="M747" s="1">
        <f>B747*C747*AH737+E747*F747*AH738+H747*I747*AH739+K747*L747*AH740</f>
        <v>7427.5481981982002</v>
      </c>
      <c r="O747" s="64" t="s">
        <v>65</v>
      </c>
      <c r="P747" s="65">
        <f>SUM(P743:P746)</f>
        <v>35460</v>
      </c>
      <c r="Q747" s="96" t="s">
        <v>108</v>
      </c>
      <c r="R747" s="97">
        <f>SUM(R743:R746)</f>
        <v>56702.166250565017</v>
      </c>
    </row>
    <row r="748" spans="1:34" x14ac:dyDescent="0.25">
      <c r="L748" s="176" t="s">
        <v>63</v>
      </c>
      <c r="M748" s="177">
        <f>SUM(M743:M747)</f>
        <v>15129.499804666859</v>
      </c>
    </row>
    <row r="749" spans="1:34" x14ac:dyDescent="0.25">
      <c r="L749" s="176"/>
      <c r="M749" s="177"/>
    </row>
    <row r="750" spans="1:34" x14ac:dyDescent="0.25">
      <c r="A750" s="178" t="s">
        <v>90</v>
      </c>
      <c r="B750" s="178"/>
      <c r="C750" s="178"/>
      <c r="D750" s="178"/>
      <c r="E750" s="178"/>
      <c r="F750" s="178"/>
      <c r="G750" s="178"/>
      <c r="H750" s="178"/>
      <c r="I750" s="178"/>
      <c r="J750" s="178"/>
      <c r="K750" s="178"/>
      <c r="L750" s="178"/>
      <c r="M750" s="178"/>
      <c r="N750" s="178"/>
    </row>
    <row r="751" spans="1:34" ht="15.75" x14ac:dyDescent="0.25">
      <c r="A751" s="87" t="s">
        <v>86</v>
      </c>
      <c r="B751" s="62" t="s">
        <v>49</v>
      </c>
      <c r="C751" s="90" t="s">
        <v>103</v>
      </c>
      <c r="D751" s="62" t="s">
        <v>88</v>
      </c>
      <c r="E751" s="87" t="s">
        <v>77</v>
      </c>
      <c r="F751" s="62" t="s">
        <v>57</v>
      </c>
      <c r="G751" s="90" t="s">
        <v>78</v>
      </c>
      <c r="H751" s="62" t="s">
        <v>88</v>
      </c>
      <c r="I751" s="87" t="s">
        <v>76</v>
      </c>
      <c r="J751" s="62" t="s">
        <v>61</v>
      </c>
      <c r="K751" s="90" t="s">
        <v>87</v>
      </c>
      <c r="L751" s="62" t="s">
        <v>88</v>
      </c>
      <c r="M751" s="87" t="s">
        <v>75</v>
      </c>
      <c r="N751" s="62" t="s">
        <v>84</v>
      </c>
      <c r="O751" s="90" t="s">
        <v>102</v>
      </c>
      <c r="P751" s="62" t="s">
        <v>88</v>
      </c>
    </row>
    <row r="752" spans="1:34" ht="24.75" x14ac:dyDescent="0.25">
      <c r="A752" s="62" t="s">
        <v>51</v>
      </c>
      <c r="B752" s="86">
        <v>1.3060317021926209E-5</v>
      </c>
      <c r="C752" s="86">
        <f>AC737+1*L730</f>
        <v>81.666666666666671</v>
      </c>
      <c r="D752" s="86">
        <f>MAX(B752*1.5*((C752-F737)*500/2),0)</f>
        <v>0</v>
      </c>
      <c r="E752" s="62" t="s">
        <v>55</v>
      </c>
      <c r="F752" s="86">
        <v>4.7087922587392923E-9</v>
      </c>
      <c r="G752" s="86">
        <f>AC738+2*L730</f>
        <v>148.66666666666669</v>
      </c>
      <c r="H752" s="86">
        <f>F752*1.5*((G752-F738)*500/2+(G752-F739)*500+(G752-F740)*500)</f>
        <v>5.2149874265537677E-4</v>
      </c>
      <c r="I752" s="62" t="s">
        <v>59</v>
      </c>
      <c r="J752" s="86">
        <v>2.7093506932023331E-12</v>
      </c>
      <c r="K752" s="86">
        <f>AC739+3*L730</f>
        <v>214.33333333333334</v>
      </c>
      <c r="L752" s="86">
        <f>J752*1.5*((K752-G752)*500/2+(K752-G752)*500)</f>
        <v>2.0015328246032233E-7</v>
      </c>
      <c r="M752" s="62" t="s">
        <v>83</v>
      </c>
      <c r="N752" s="86">
        <v>2.1235423249134227E-14</v>
      </c>
      <c r="O752" s="86">
        <f>AC740+4*L730</f>
        <v>311.33333333333337</v>
      </c>
      <c r="P752" s="86">
        <f>N752*1.5*((O752-K752)*500/2)</f>
        <v>7.7243852068725773E-10</v>
      </c>
    </row>
    <row r="753" spans="1:22" ht="24.75" x14ac:dyDescent="0.25">
      <c r="A753" s="62" t="s">
        <v>52</v>
      </c>
      <c r="B753" s="86">
        <v>0.99998693968297803</v>
      </c>
      <c r="C753" s="88">
        <f>AC737</f>
        <v>69.666666666666671</v>
      </c>
      <c r="D753" s="86">
        <f>MAX(B753*1.5*((C753-F737)*500/2),0)</f>
        <v>0</v>
      </c>
      <c r="E753" s="62" t="s">
        <v>56</v>
      </c>
      <c r="F753" s="86">
        <v>3.7359285648439107E-4</v>
      </c>
      <c r="G753" s="86">
        <f>AC738+1*L730</f>
        <v>136.66666666666669</v>
      </c>
      <c r="H753" s="86">
        <f>F753*1.5*((G753-F738)*500/2+(G753-F739)*500+(G753-F740)*500)</f>
        <v>32.969569584747525</v>
      </c>
      <c r="I753" s="62" t="s">
        <v>60</v>
      </c>
      <c r="J753" s="86">
        <v>2.1966440110797118E-7</v>
      </c>
      <c r="K753" s="86">
        <f>AC739+2*L730</f>
        <v>202.33333333333334</v>
      </c>
      <c r="L753" s="86">
        <f>J753*1.5*((K753-G753)*500/2+(K753-G753)*500)</f>
        <v>1.6227707631851367E-2</v>
      </c>
      <c r="M753" s="62" t="s">
        <v>59</v>
      </c>
      <c r="N753" s="86">
        <v>1.6286169401332703E-9</v>
      </c>
      <c r="O753" s="86">
        <f>AC740+3*L730</f>
        <v>299.33333333333337</v>
      </c>
      <c r="P753" s="86">
        <f>N753*1.5*((O753-K753)*500/2)</f>
        <v>5.9240941197347729E-5</v>
      </c>
    </row>
    <row r="754" spans="1:22" x14ac:dyDescent="0.25">
      <c r="A754" s="86"/>
      <c r="B754" s="86"/>
      <c r="C754" s="89" t="s">
        <v>89</v>
      </c>
      <c r="D754" s="89">
        <f>SUM(D752:D753)</f>
        <v>0</v>
      </c>
      <c r="E754" s="62" t="s">
        <v>52</v>
      </c>
      <c r="F754" s="86">
        <v>0.99962640243472334</v>
      </c>
      <c r="G754" s="86">
        <f>AC738+0*L730</f>
        <v>124.66666666666667</v>
      </c>
      <c r="H754" s="86">
        <f>F754*1.5*((G754-F738)*500/2+(G754-F739)*500+(G754-F740)*500)</f>
        <v>65725.435960083065</v>
      </c>
      <c r="I754" s="62" t="s">
        <v>56</v>
      </c>
      <c r="J754" s="86">
        <v>1.3255345826349805E-5</v>
      </c>
      <c r="K754" s="86">
        <f>AC739+1*L730</f>
        <v>190.33333333333334</v>
      </c>
      <c r="L754" s="86">
        <f>J754*1.5*((K754-G754)*500/2+(K754-G754)*500)</f>
        <v>0.97923867292159195</v>
      </c>
      <c r="M754" s="62" t="s">
        <v>60</v>
      </c>
      <c r="N754" s="86">
        <v>7.6524682444013052E-6</v>
      </c>
      <c r="O754" s="86">
        <f>AC740+2*L730</f>
        <v>287.33333333333337</v>
      </c>
      <c r="P754" s="86">
        <f>N754*1.5*((O754-K754)*500/2)</f>
        <v>0.27835853239009756</v>
      </c>
    </row>
    <row r="755" spans="1:22" x14ac:dyDescent="0.25">
      <c r="A755" s="86"/>
      <c r="B755" s="86"/>
      <c r="C755" s="86"/>
      <c r="D755" s="86"/>
      <c r="E755" s="86"/>
      <c r="F755" s="86"/>
      <c r="G755" s="89" t="s">
        <v>79</v>
      </c>
      <c r="H755" s="89">
        <f>SUM(H752:H754)</f>
        <v>65758.406051166559</v>
      </c>
      <c r="I755" s="62" t="s">
        <v>52</v>
      </c>
      <c r="J755" s="86">
        <v>0.99905123616329705</v>
      </c>
      <c r="K755" s="86">
        <f>AC739+0*L730</f>
        <v>178.33333333333334</v>
      </c>
      <c r="L755" s="86">
        <f>J755*1.5*((K755-G754)*500/2+(K755-G754)*500)</f>
        <v>60317.718383359061</v>
      </c>
      <c r="M755" s="62" t="s">
        <v>56</v>
      </c>
      <c r="N755" s="86">
        <v>8.7715008520789228E-3</v>
      </c>
      <c r="O755" s="86">
        <f>AC740+1*L730</f>
        <v>275.33333333333337</v>
      </c>
      <c r="P755" s="86">
        <f>N755*1.5*((O755-K755)*500/2)</f>
        <v>319.06334349437094</v>
      </c>
    </row>
    <row r="756" spans="1:22" x14ac:dyDescent="0.25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9" t="s">
        <v>79</v>
      </c>
      <c r="L756" s="89">
        <f>SUM(L752:L755)</f>
        <v>60318.71384993977</v>
      </c>
      <c r="M756" s="62" t="s">
        <v>52</v>
      </c>
      <c r="N756" s="86">
        <v>0.99122084495527563</v>
      </c>
      <c r="O756" s="86">
        <f>AC740+0*L730</f>
        <v>263.33333333333337</v>
      </c>
      <c r="P756" s="86">
        <f>N756*1.5*((O756-K755)*500/2)</f>
        <v>31595.164432949419</v>
      </c>
      <c r="Q756" s="179" t="s">
        <v>80</v>
      </c>
      <c r="R756" s="179"/>
      <c r="S756" s="180">
        <f>D754+H755+L756+P757</f>
        <v>157991.62609532423</v>
      </c>
      <c r="T756" s="180"/>
    </row>
    <row r="757" spans="1:22" x14ac:dyDescent="0.25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9" t="s">
        <v>79</v>
      </c>
      <c r="P757" s="89">
        <f>SUM(P752:P756)</f>
        <v>31914.506194217895</v>
      </c>
      <c r="Q757" s="179"/>
      <c r="R757" s="179"/>
      <c r="S757" s="180"/>
      <c r="T757" s="180"/>
    </row>
    <row r="758" spans="1:22" x14ac:dyDescent="0.25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</row>
    <row r="759" spans="1:22" x14ac:dyDescent="0.25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</row>
    <row r="760" spans="1:22" x14ac:dyDescent="0.25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</row>
    <row r="761" spans="1:22" ht="24.75" thickBot="1" x14ac:dyDescent="0.3">
      <c r="O761" s="131" t="s">
        <v>81</v>
      </c>
      <c r="P761" s="131"/>
      <c r="Q761" s="131">
        <f>(R747+P747+M748+S756)/AC740</f>
        <v>1007.4049069008458</v>
      </c>
      <c r="R761" s="131"/>
    </row>
    <row r="762" spans="1:22" x14ac:dyDescent="0.25">
      <c r="A762" s="181" t="s">
        <v>125</v>
      </c>
      <c r="B762" s="182"/>
    </row>
    <row r="763" spans="1:22" ht="15.75" thickBot="1" x14ac:dyDescent="0.3">
      <c r="A763" s="183"/>
      <c r="B763" s="184"/>
    </row>
    <row r="764" spans="1:22" ht="21" x14ac:dyDescent="0.35">
      <c r="A764" s="185" t="s">
        <v>14</v>
      </c>
      <c r="B764" s="185"/>
      <c r="C764" s="165"/>
      <c r="D764" s="165"/>
      <c r="E764" s="165"/>
      <c r="F764" s="165"/>
      <c r="G764" s="165"/>
      <c r="H764" s="165"/>
      <c r="I764" s="165"/>
      <c r="J764" s="165"/>
      <c r="K764" s="165"/>
      <c r="L764" s="165"/>
      <c r="M764" s="165"/>
      <c r="O764" s="166" t="s">
        <v>72</v>
      </c>
      <c r="P764" s="166"/>
      <c r="Q764" s="166"/>
      <c r="R764" s="166"/>
      <c r="S764" s="166"/>
      <c r="T764" s="166"/>
      <c r="U764" s="166"/>
      <c r="V764" s="166"/>
    </row>
    <row r="765" spans="1:22" ht="36" x14ac:dyDescent="0.25">
      <c r="A765" s="4" t="s">
        <v>15</v>
      </c>
      <c r="B765" s="4" t="s">
        <v>16</v>
      </c>
      <c r="C765" s="4" t="s">
        <v>31</v>
      </c>
      <c r="D765" s="6" t="s">
        <v>17</v>
      </c>
      <c r="E765" s="6" t="s">
        <v>18</v>
      </c>
      <c r="F765" s="6" t="s">
        <v>19</v>
      </c>
      <c r="G765" s="6" t="s">
        <v>20</v>
      </c>
      <c r="H765" s="6" t="s">
        <v>21</v>
      </c>
      <c r="I765" s="6" t="s">
        <v>22</v>
      </c>
      <c r="J765" s="6" t="s">
        <v>23</v>
      </c>
      <c r="K765" s="6" t="s">
        <v>24</v>
      </c>
      <c r="L765" s="6" t="s">
        <v>25</v>
      </c>
      <c r="M765" s="6" t="s">
        <v>26</v>
      </c>
      <c r="N765" s="8"/>
      <c r="O765" s="167" t="s">
        <v>32</v>
      </c>
      <c r="P765" s="167" t="s">
        <v>35</v>
      </c>
      <c r="Q765" s="167" t="s">
        <v>66</v>
      </c>
      <c r="R765" s="99" t="s">
        <v>67</v>
      </c>
      <c r="S765" s="99" t="s">
        <v>68</v>
      </c>
      <c r="T765" s="167" t="s">
        <v>69</v>
      </c>
      <c r="U765" s="71" t="s">
        <v>33</v>
      </c>
      <c r="V765" s="99" t="s">
        <v>70</v>
      </c>
    </row>
    <row r="766" spans="1:22" x14ac:dyDescent="0.25">
      <c r="A766" s="3" t="s">
        <v>27</v>
      </c>
      <c r="B766" s="3">
        <v>0</v>
      </c>
      <c r="C766" s="3">
        <v>0.3</v>
      </c>
      <c r="D766" s="3">
        <v>243</v>
      </c>
      <c r="E766" s="3">
        <v>1.73</v>
      </c>
      <c r="F766" s="3">
        <v>5</v>
      </c>
      <c r="G766" s="169">
        <v>12</v>
      </c>
      <c r="H766" s="3">
        <v>1820</v>
      </c>
      <c r="I766" s="169">
        <v>19645</v>
      </c>
      <c r="J766" s="3">
        <v>20</v>
      </c>
      <c r="K766" s="3">
        <v>40</v>
      </c>
      <c r="L766" s="3">
        <v>500</v>
      </c>
      <c r="M766" s="3">
        <v>1000</v>
      </c>
      <c r="O766" s="168"/>
      <c r="P766" s="168"/>
      <c r="Q766" s="168"/>
      <c r="R766" s="72" t="s">
        <v>71</v>
      </c>
      <c r="S766" s="72" t="s">
        <v>71</v>
      </c>
      <c r="T766" s="168"/>
      <c r="U766" s="73">
        <v>500</v>
      </c>
      <c r="V766" s="3">
        <v>1.5</v>
      </c>
    </row>
    <row r="767" spans="1:22" x14ac:dyDescent="0.25">
      <c r="A767" s="3" t="s">
        <v>28</v>
      </c>
      <c r="B767" s="3">
        <v>0</v>
      </c>
      <c r="C767" s="3">
        <v>0.3</v>
      </c>
      <c r="D767" s="3">
        <v>254</v>
      </c>
      <c r="E767" s="3">
        <v>1.88</v>
      </c>
      <c r="F767" s="3">
        <v>3</v>
      </c>
      <c r="G767" s="170"/>
      <c r="H767" s="3">
        <v>2720</v>
      </c>
      <c r="I767" s="170"/>
      <c r="J767" s="5"/>
      <c r="K767" s="5"/>
      <c r="L767" s="5"/>
      <c r="M767" s="5"/>
      <c r="O767" s="74">
        <v>1</v>
      </c>
      <c r="P767" s="74">
        <v>106</v>
      </c>
      <c r="Q767" s="74">
        <v>110</v>
      </c>
      <c r="R767" s="74">
        <v>6</v>
      </c>
      <c r="S767" s="74">
        <v>5</v>
      </c>
      <c r="T767" s="74">
        <f>R767*$U$5/60+S767</f>
        <v>55</v>
      </c>
      <c r="U767" s="75"/>
    </row>
    <row r="768" spans="1:22" x14ac:dyDescent="0.25">
      <c r="A768" s="3" t="s">
        <v>29</v>
      </c>
      <c r="B768" s="3">
        <v>0</v>
      </c>
      <c r="C768" s="3">
        <v>0.3</v>
      </c>
      <c r="D768" s="3">
        <v>143</v>
      </c>
      <c r="E768" s="3">
        <v>2.4300000000000002</v>
      </c>
      <c r="F768" s="3">
        <v>8</v>
      </c>
      <c r="G768" s="170"/>
      <c r="H768" s="3">
        <v>3700</v>
      </c>
      <c r="I768" s="170"/>
      <c r="J768" s="5"/>
      <c r="K768" s="140" t="s">
        <v>73</v>
      </c>
      <c r="L768" s="141">
        <v>12</v>
      </c>
      <c r="M768" s="140" t="s">
        <v>74</v>
      </c>
      <c r="N768" s="141">
        <v>19645</v>
      </c>
      <c r="O768" s="74">
        <v>2</v>
      </c>
      <c r="P768" s="74">
        <v>76</v>
      </c>
      <c r="Q768" s="74">
        <v>40</v>
      </c>
      <c r="R768" s="74">
        <v>9</v>
      </c>
      <c r="S768" s="74">
        <v>2</v>
      </c>
      <c r="T768" s="74">
        <f t="shared" ref="T768:T770" si="80">R768*$U$5/60+S768</f>
        <v>77</v>
      </c>
      <c r="U768" s="75"/>
    </row>
    <row r="769" spans="1:34" x14ac:dyDescent="0.25">
      <c r="A769" s="3" t="s">
        <v>30</v>
      </c>
      <c r="B769" s="3">
        <v>0</v>
      </c>
      <c r="C769" s="3">
        <v>0.3</v>
      </c>
      <c r="D769" s="3">
        <v>449</v>
      </c>
      <c r="E769" s="3">
        <v>2.5299999999999998</v>
      </c>
      <c r="F769" s="3">
        <v>4</v>
      </c>
      <c r="G769" s="171"/>
      <c r="H769" s="3">
        <v>4320</v>
      </c>
      <c r="I769" s="171"/>
      <c r="J769" s="5"/>
      <c r="K769" s="140"/>
      <c r="L769" s="141"/>
      <c r="M769" s="140"/>
      <c r="N769" s="141"/>
      <c r="O769" s="74">
        <v>3</v>
      </c>
      <c r="P769" s="74">
        <v>95</v>
      </c>
      <c r="Q769" s="74">
        <v>67</v>
      </c>
      <c r="R769" s="74">
        <v>5</v>
      </c>
      <c r="S769" s="74">
        <v>4</v>
      </c>
      <c r="T769" s="74">
        <f t="shared" si="80"/>
        <v>45.666666666666664</v>
      </c>
      <c r="U769" s="75"/>
    </row>
    <row r="770" spans="1:34" ht="15.75" thickBo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O770" s="74">
        <v>4</v>
      </c>
      <c r="P770" s="74">
        <v>140</v>
      </c>
      <c r="Q770" s="94">
        <v>85</v>
      </c>
      <c r="R770" s="94">
        <v>8</v>
      </c>
      <c r="S770" s="94">
        <v>3</v>
      </c>
      <c r="T770" s="74">
        <f t="shared" si="80"/>
        <v>69.666666666666671</v>
      </c>
    </row>
    <row r="771" spans="1:34" ht="15" customHeight="1" x14ac:dyDescent="0.25">
      <c r="A771" s="142" t="s">
        <v>101</v>
      </c>
      <c r="B771" s="144" t="s">
        <v>107</v>
      </c>
      <c r="C771" s="144"/>
      <c r="D771" s="144"/>
      <c r="E771" s="144"/>
      <c r="F771" s="20" t="s">
        <v>27</v>
      </c>
      <c r="G771" s="20" t="s">
        <v>28</v>
      </c>
      <c r="H771" s="20" t="s">
        <v>29</v>
      </c>
      <c r="I771" s="20" t="s">
        <v>30</v>
      </c>
    </row>
    <row r="772" spans="1:34" ht="15.75" customHeight="1" thickBot="1" x14ac:dyDescent="0.3">
      <c r="A772" s="143"/>
      <c r="B772" s="145"/>
      <c r="C772" s="145"/>
      <c r="D772" s="145"/>
      <c r="E772" s="145"/>
      <c r="F772" s="20">
        <v>168</v>
      </c>
      <c r="G772" s="26">
        <v>84</v>
      </c>
      <c r="H772" s="26">
        <v>84</v>
      </c>
      <c r="I772" s="26">
        <v>252</v>
      </c>
    </row>
    <row r="773" spans="1:34" ht="15.75" customHeight="1" thickBot="1" x14ac:dyDescent="0.3">
      <c r="A773" s="143"/>
      <c r="B773" s="145"/>
      <c r="C773" s="145"/>
      <c r="D773" s="145"/>
      <c r="E773" s="145"/>
      <c r="F773" s="7"/>
      <c r="G773" s="146" t="s">
        <v>27</v>
      </c>
      <c r="H773" s="147"/>
      <c r="I773" s="147"/>
      <c r="J773" s="147"/>
      <c r="K773" s="148"/>
      <c r="L773" s="149" t="s">
        <v>28</v>
      </c>
      <c r="M773" s="150"/>
      <c r="N773" s="150"/>
      <c r="O773" s="150"/>
      <c r="P773" s="151"/>
      <c r="Q773" s="152" t="s">
        <v>29</v>
      </c>
      <c r="R773" s="153"/>
      <c r="S773" s="153"/>
      <c r="T773" s="153"/>
      <c r="U773" s="154"/>
      <c r="V773" s="155" t="s">
        <v>30</v>
      </c>
      <c r="W773" s="156"/>
      <c r="X773" s="156"/>
      <c r="Y773" s="156"/>
      <c r="Z773" s="157"/>
      <c r="AA773" s="158" t="s">
        <v>42</v>
      </c>
      <c r="AB773" s="159"/>
      <c r="AC773" s="160" t="s">
        <v>44</v>
      </c>
      <c r="AD773" s="162" t="s">
        <v>47</v>
      </c>
      <c r="AE773" s="163"/>
      <c r="AF773" s="163"/>
      <c r="AG773" s="164"/>
      <c r="AH773" s="138" t="s">
        <v>62</v>
      </c>
    </row>
    <row r="774" spans="1:34" ht="36.75" x14ac:dyDescent="0.25">
      <c r="A774" s="21" t="s">
        <v>32</v>
      </c>
      <c r="B774" s="22" t="s">
        <v>37</v>
      </c>
      <c r="C774" s="23" t="s">
        <v>33</v>
      </c>
      <c r="D774" s="22" t="s">
        <v>38</v>
      </c>
      <c r="E774" s="22" t="s">
        <v>34</v>
      </c>
      <c r="F774" s="25" t="s">
        <v>35</v>
      </c>
      <c r="G774" s="27" t="s">
        <v>39</v>
      </c>
      <c r="H774" s="10" t="s">
        <v>40</v>
      </c>
      <c r="I774" s="10" t="s">
        <v>45</v>
      </c>
      <c r="J774" s="10" t="s">
        <v>46</v>
      </c>
      <c r="K774" s="28" t="s">
        <v>41</v>
      </c>
      <c r="L774" s="30" t="s">
        <v>39</v>
      </c>
      <c r="M774" s="13" t="s">
        <v>40</v>
      </c>
      <c r="N774" s="13" t="s">
        <v>45</v>
      </c>
      <c r="O774" s="13" t="s">
        <v>46</v>
      </c>
      <c r="P774" s="31" t="s">
        <v>41</v>
      </c>
      <c r="Q774" s="33" t="s">
        <v>39</v>
      </c>
      <c r="R774" s="12" t="s">
        <v>40</v>
      </c>
      <c r="S774" s="12" t="s">
        <v>45</v>
      </c>
      <c r="T774" s="12" t="s">
        <v>46</v>
      </c>
      <c r="U774" s="34" t="s">
        <v>41</v>
      </c>
      <c r="V774" s="36" t="s">
        <v>39</v>
      </c>
      <c r="W774" s="11" t="s">
        <v>40</v>
      </c>
      <c r="X774" s="11" t="s">
        <v>45</v>
      </c>
      <c r="Y774" s="11" t="s">
        <v>46</v>
      </c>
      <c r="Z774" s="37" t="s">
        <v>41</v>
      </c>
      <c r="AA774" s="39" t="s">
        <v>41</v>
      </c>
      <c r="AB774" s="40" t="s">
        <v>43</v>
      </c>
      <c r="AC774" s="161"/>
      <c r="AD774" s="43" t="s">
        <v>27</v>
      </c>
      <c r="AE774" s="1" t="s">
        <v>28</v>
      </c>
      <c r="AF774" s="1" t="s">
        <v>29</v>
      </c>
      <c r="AG774" s="1" t="s">
        <v>30</v>
      </c>
      <c r="AH774" s="139"/>
    </row>
    <row r="775" spans="1:34" x14ac:dyDescent="0.25">
      <c r="A775" s="24">
        <v>4</v>
      </c>
      <c r="B775" s="9">
        <v>8</v>
      </c>
      <c r="C775" s="9">
        <v>500</v>
      </c>
      <c r="D775" s="9">
        <v>3</v>
      </c>
      <c r="E775" s="48">
        <f>B775*C775/60+D775</f>
        <v>69.666666666666671</v>
      </c>
      <c r="F775" s="100">
        <v>140</v>
      </c>
      <c r="G775" s="49">
        <f>B$5*(1-AD775*C$5)</f>
        <v>0</v>
      </c>
      <c r="H775" s="50">
        <f>G775+E775</f>
        <v>69.666666666666671</v>
      </c>
      <c r="I775" s="15">
        <f>(H775/D$5)^E$5</f>
        <v>0.11516869637804684</v>
      </c>
      <c r="J775" s="15">
        <f>(G775/D$5)^E$5</f>
        <v>0</v>
      </c>
      <c r="K775" s="29">
        <f>1-EXP(J775-I775)</f>
        <v>0.10878421365041502</v>
      </c>
      <c r="L775" s="51">
        <f>B$6*(1-AE775*C$6)</f>
        <v>0</v>
      </c>
      <c r="M775" s="52">
        <f>L775+E775</f>
        <v>69.666666666666671</v>
      </c>
      <c r="N775" s="17">
        <f>(M775/D$6)^E$6</f>
        <v>8.7861714115895329E-2</v>
      </c>
      <c r="O775" s="17">
        <f>(L775/D$6)^E$6</f>
        <v>0</v>
      </c>
      <c r="P775" s="32">
        <f>1-EXP(O775-N775)</f>
        <v>8.4112477717763534E-2</v>
      </c>
      <c r="Q775" s="53">
        <f>B$7*(1-AF775*C$7)</f>
        <v>0</v>
      </c>
      <c r="R775" s="54">
        <f>Q775+E775</f>
        <v>69.666666666666671</v>
      </c>
      <c r="S775" s="16">
        <f>(R775/D$7)^E$7</f>
        <v>0.17421448251746105</v>
      </c>
      <c r="T775" s="16">
        <f>(Q775/D$7)^E$7</f>
        <v>0</v>
      </c>
      <c r="U775" s="35">
        <f>1-EXP(T775-S775)</f>
        <v>0.15988331200899064</v>
      </c>
      <c r="V775" s="55">
        <f>B$8*(1-AG775*C$8)</f>
        <v>0</v>
      </c>
      <c r="W775" s="56">
        <f>V775+E775</f>
        <v>69.666666666666671</v>
      </c>
      <c r="X775" s="18">
        <f>(W775/D$8)^E$8</f>
        <v>8.9674731846197935E-3</v>
      </c>
      <c r="Y775" s="18">
        <f>(V775/D$8)^E$8</f>
        <v>0</v>
      </c>
      <c r="Z775" s="38">
        <f>1-EXP(Y775-X775)</f>
        <v>8.9273853154187011E-3</v>
      </c>
      <c r="AA775" s="41">
        <f>K775*P775*U775*Z775</f>
        <v>1.3060317021926209E-5</v>
      </c>
      <c r="AB775" s="42">
        <f>1-AA775</f>
        <v>0.99998693968297803</v>
      </c>
      <c r="AC775" s="47">
        <f>(AD775*F$5+AE775*F$6+AF775*F$7+AG775*F$8)+E775</f>
        <v>69.666666666666671</v>
      </c>
      <c r="AD775" s="43">
        <v>0</v>
      </c>
      <c r="AE775" s="1">
        <v>0</v>
      </c>
      <c r="AF775" s="1">
        <v>0</v>
      </c>
      <c r="AG775" s="1">
        <v>0</v>
      </c>
      <c r="AH775" s="74">
        <v>85</v>
      </c>
    </row>
    <row r="776" spans="1:34" x14ac:dyDescent="0.25">
      <c r="A776" s="76">
        <v>2</v>
      </c>
      <c r="B776" s="58">
        <v>9</v>
      </c>
      <c r="C776" s="9">
        <v>500</v>
      </c>
      <c r="D776" s="58">
        <v>2</v>
      </c>
      <c r="E776" s="48">
        <f t="shared" ref="E776:E778" si="81">B776*C776/60+D776</f>
        <v>77</v>
      </c>
      <c r="F776" s="100">
        <v>76</v>
      </c>
      <c r="G776" s="49">
        <f>H775*(1-AD776*C$5)</f>
        <v>69.666666666666671</v>
      </c>
      <c r="H776" s="50">
        <f>G776+E776</f>
        <v>146.66666666666669</v>
      </c>
      <c r="I776" s="15">
        <f>(H776/D$5)^E$5</f>
        <v>0.41749810283193062</v>
      </c>
      <c r="J776" s="15">
        <f>(G776/D$5)^E$5</f>
        <v>0.11516869637804684</v>
      </c>
      <c r="K776" s="29">
        <f>1-EXP(J776-I776)</f>
        <v>0.26090543773277519</v>
      </c>
      <c r="L776" s="51">
        <f>M775*(1-AE776*C$6)</f>
        <v>69.666666666666671</v>
      </c>
      <c r="M776" s="52">
        <f>L776+E776</f>
        <v>146.66666666666669</v>
      </c>
      <c r="N776" s="17">
        <f>(M776/D$6)^E$6</f>
        <v>0.35613584348340649</v>
      </c>
      <c r="O776" s="17">
        <f>(L776/D$6)^E$6</f>
        <v>8.7861714115895329E-2</v>
      </c>
      <c r="P776" s="32">
        <f>1-EXP(O776-N776)</f>
        <v>0.23530187384577195</v>
      </c>
      <c r="Q776" s="53">
        <f>R775*(1-AF776*C$7)</f>
        <v>69.666666666666671</v>
      </c>
      <c r="R776" s="54">
        <f>Q776+E776</f>
        <v>146.66666666666669</v>
      </c>
      <c r="S776" s="16">
        <f>(R776/D$7)^E$7</f>
        <v>1.0634541830073496</v>
      </c>
      <c r="T776" s="16">
        <f>(Q776/D$7)^E$7</f>
        <v>0.17421448251746105</v>
      </c>
      <c r="U776" s="35">
        <f>1-EXP(T776-S776)</f>
        <v>0.58903190715905007</v>
      </c>
      <c r="V776" s="55">
        <f>W775*(1-AG776*C$8)</f>
        <v>69.666666666666671</v>
      </c>
      <c r="W776" s="56">
        <f>V776+E776</f>
        <v>146.66666666666669</v>
      </c>
      <c r="X776" s="18">
        <f>(W776/D$8)^E$8</f>
        <v>5.897056032024859E-2</v>
      </c>
      <c r="Y776" s="18">
        <f>(V776/D$8)^E$8</f>
        <v>8.9674731846197935E-3</v>
      </c>
      <c r="Z776" s="38">
        <f>1-EXP(Y776-X776)</f>
        <v>4.8773512069000713E-2</v>
      </c>
      <c r="AA776" s="41">
        <f>K776*P776*U776*Z776</f>
        <v>1.7637270119788228E-3</v>
      </c>
      <c r="AB776" s="42">
        <f>1-AA776</f>
        <v>0.9982362729880212</v>
      </c>
      <c r="AC776" s="47">
        <f>AF776*F$7+E776+AC775</f>
        <v>146.66666666666669</v>
      </c>
      <c r="AD776" s="43">
        <v>0</v>
      </c>
      <c r="AE776" s="1">
        <v>0</v>
      </c>
      <c r="AF776" s="1">
        <v>0</v>
      </c>
      <c r="AG776" s="1">
        <v>0</v>
      </c>
      <c r="AH776" s="74">
        <v>40</v>
      </c>
    </row>
    <row r="777" spans="1:34" x14ac:dyDescent="0.25">
      <c r="A777" s="24">
        <v>1</v>
      </c>
      <c r="B777" s="9">
        <v>6</v>
      </c>
      <c r="C777" s="58">
        <v>500</v>
      </c>
      <c r="D777" s="58">
        <v>5</v>
      </c>
      <c r="E777" s="48">
        <f t="shared" si="81"/>
        <v>55</v>
      </c>
      <c r="F777" s="100">
        <v>106</v>
      </c>
      <c r="G777" s="68">
        <f>H776*(1-AD777*C$5)</f>
        <v>146.66666666666669</v>
      </c>
      <c r="H777" s="69">
        <f>G777+E777</f>
        <v>201.66666666666669</v>
      </c>
      <c r="I777" s="70">
        <f>(H777/D$5)^E$5</f>
        <v>0.72429948125597088</v>
      </c>
      <c r="J777" s="70">
        <f>(G777/D$5)^E$5</f>
        <v>0.41749810283193062</v>
      </c>
      <c r="K777" s="29">
        <f>1-EXP(J777-I777)</f>
        <v>0.26420326849917475</v>
      </c>
      <c r="L777" s="51">
        <f>M776*(1-AE777*C$6)</f>
        <v>102.66666666666667</v>
      </c>
      <c r="M777" s="52">
        <f>L777+E777</f>
        <v>157.66666666666669</v>
      </c>
      <c r="N777" s="17">
        <f>(M777/D$6)^E$6</f>
        <v>0.40800322739554595</v>
      </c>
      <c r="O777" s="17">
        <f>(L777/D$6)^E$6</f>
        <v>0.18213776408892768</v>
      </c>
      <c r="P777" s="32">
        <f>1-EXP(O777-N777)</f>
        <v>0.20217456875895568</v>
      </c>
      <c r="Q777" s="53">
        <f>R776*(1-AF777*C$7)</f>
        <v>102.66666666666667</v>
      </c>
      <c r="R777" s="54">
        <f>Q777+E777</f>
        <v>157.66666666666669</v>
      </c>
      <c r="S777" s="16">
        <f>(R777/D$7)^E$7</f>
        <v>1.2677725729300298</v>
      </c>
      <c r="T777" s="16">
        <f>(Q777/D$7)^E$7</f>
        <v>0.44699948326797367</v>
      </c>
      <c r="U777" s="35">
        <f>1-EXP(T777-S777)</f>
        <v>0.55990870707098139</v>
      </c>
      <c r="V777" s="55">
        <f>W776*(1-AG777*C$8)</f>
        <v>146.66666666666669</v>
      </c>
      <c r="W777" s="56">
        <f>V777+E777</f>
        <v>201.66666666666669</v>
      </c>
      <c r="X777" s="18">
        <f>(W777/D$8)^E$8</f>
        <v>0.13199001575183039</v>
      </c>
      <c r="Y777" s="18">
        <f>(V777/D$8)^E$8</f>
        <v>5.897056032024859E-2</v>
      </c>
      <c r="Z777" s="38">
        <f>1-EXP(Y777-X777)</f>
        <v>7.0417255583621996E-2</v>
      </c>
      <c r="AA777" s="41">
        <f>K777*P777*U777*Z777</f>
        <v>2.1060129031534474E-3</v>
      </c>
      <c r="AB777" s="42">
        <f>1-AA777</f>
        <v>0.99789398709684651</v>
      </c>
      <c r="AC777" s="47">
        <f>(AF777*F$7)+E777+AC776</f>
        <v>209.66666666666669</v>
      </c>
      <c r="AD777" s="77">
        <v>0</v>
      </c>
      <c r="AE777" s="78">
        <v>1</v>
      </c>
      <c r="AF777" s="78">
        <v>1</v>
      </c>
      <c r="AG777" s="78">
        <v>0</v>
      </c>
      <c r="AH777" s="74">
        <v>110</v>
      </c>
    </row>
    <row r="778" spans="1:34" ht="15.75" thickBot="1" x14ac:dyDescent="0.3">
      <c r="A778" s="57">
        <v>3</v>
      </c>
      <c r="B778" s="58">
        <v>5</v>
      </c>
      <c r="C778" s="58">
        <v>500</v>
      </c>
      <c r="D778" s="9">
        <v>4</v>
      </c>
      <c r="E778" s="48">
        <f t="shared" si="81"/>
        <v>45.666666666666664</v>
      </c>
      <c r="F778" s="100">
        <v>95</v>
      </c>
      <c r="G778" s="68">
        <f>H777*(1-AD778*C$5)</f>
        <v>141.16666666666666</v>
      </c>
      <c r="H778" s="69">
        <f>G778+E778</f>
        <v>186.83333333333331</v>
      </c>
      <c r="I778" s="70">
        <f>(H778/D$5)^E$5</f>
        <v>0.63462502467785764</v>
      </c>
      <c r="J778" s="70">
        <f>(G778/D$5)^E$5</f>
        <v>0.39078490830583607</v>
      </c>
      <c r="K778" s="29">
        <f>1-EXP(J778-I778)</f>
        <v>0.21638708887710267</v>
      </c>
      <c r="L778" s="51">
        <f>M777*(1-AE778*C$6)</f>
        <v>110.36666666666667</v>
      </c>
      <c r="M778" s="52">
        <f>L778+E778</f>
        <v>156.03333333333333</v>
      </c>
      <c r="N778" s="17">
        <f>(M778/D$6)^E$6</f>
        <v>0.40009331888325944</v>
      </c>
      <c r="O778" s="17">
        <f>(L778/D$6)^E$6</f>
        <v>0.20866418513797683</v>
      </c>
      <c r="P778" s="32">
        <f>1-EXP(O778-N778)</f>
        <v>0.17422185716279748</v>
      </c>
      <c r="Q778" s="53">
        <f>R777*(1-AF778*C$7)</f>
        <v>110.36666666666667</v>
      </c>
      <c r="R778" s="54">
        <f>Q778+E778</f>
        <v>156.03333333333333</v>
      </c>
      <c r="S778" s="16">
        <f>(R778/D$7)^E$7</f>
        <v>1.236094511081606</v>
      </c>
      <c r="T778" s="16">
        <f>(Q778/D$7)^E$7</f>
        <v>0.53288020683549875</v>
      </c>
      <c r="U778" s="35">
        <f>1-EXP(T778-S778)</f>
        <v>0.50500830990741408</v>
      </c>
      <c r="V778" s="55">
        <f>W777*(1-AG778*C$8)</f>
        <v>201.66666666666669</v>
      </c>
      <c r="W778" s="56">
        <f>V778+E778</f>
        <v>247.33333333333334</v>
      </c>
      <c r="X778" s="18">
        <f>(W778/D$8)^E$8</f>
        <v>0.22121871391987213</v>
      </c>
      <c r="Y778" s="18">
        <f>(V778/D$8)^E$8</f>
        <v>0.13199001575183039</v>
      </c>
      <c r="Z778" s="38">
        <f>1-EXP(Y778-X778)</f>
        <v>8.5363626009572924E-2</v>
      </c>
      <c r="AA778" s="41">
        <f>K778*P778*U778*Z778</f>
        <v>1.6251945679547429E-3</v>
      </c>
      <c r="AB778" s="42">
        <f>1-AA778</f>
        <v>0.99837480543204526</v>
      </c>
      <c r="AC778" s="47">
        <f>(AF778*F$7)+E778+AC777</f>
        <v>263.33333333333337</v>
      </c>
      <c r="AD778" s="80">
        <v>1</v>
      </c>
      <c r="AE778" s="45">
        <v>1</v>
      </c>
      <c r="AF778" s="81">
        <v>1</v>
      </c>
      <c r="AG778" s="45">
        <v>0</v>
      </c>
      <c r="AH778" s="94">
        <v>67</v>
      </c>
    </row>
    <row r="779" spans="1:34" ht="18.75" x14ac:dyDescent="0.3">
      <c r="A779" s="132" t="s">
        <v>53</v>
      </c>
      <c r="B779" s="132"/>
      <c r="C779" s="132"/>
      <c r="D779" s="132"/>
      <c r="E779" s="132"/>
      <c r="F779" s="132"/>
      <c r="G779" s="132"/>
      <c r="H779" s="132"/>
      <c r="I779" s="132"/>
      <c r="J779" s="132"/>
      <c r="AG779" s="46"/>
    </row>
    <row r="780" spans="1:34" ht="15.75" x14ac:dyDescent="0.25">
      <c r="A780" s="19" t="s">
        <v>82</v>
      </c>
      <c r="B780" s="60" t="s">
        <v>49</v>
      </c>
      <c r="C780" s="61" t="s">
        <v>50</v>
      </c>
      <c r="D780" s="19" t="s">
        <v>48</v>
      </c>
      <c r="E780" s="60" t="s">
        <v>57</v>
      </c>
      <c r="F780" s="61" t="s">
        <v>50</v>
      </c>
      <c r="G780" s="19" t="s">
        <v>58</v>
      </c>
      <c r="H780" s="60" t="s">
        <v>61</v>
      </c>
      <c r="I780" s="61" t="s">
        <v>50</v>
      </c>
      <c r="J780" s="19" t="s">
        <v>54</v>
      </c>
      <c r="K780" s="83" t="s">
        <v>84</v>
      </c>
      <c r="L780" s="61" t="s">
        <v>50</v>
      </c>
      <c r="M780" s="61" t="s">
        <v>85</v>
      </c>
      <c r="O780" s="174" t="s">
        <v>64</v>
      </c>
      <c r="P780" s="174"/>
      <c r="Q780" s="175" t="s">
        <v>109</v>
      </c>
      <c r="R780" s="175"/>
    </row>
    <row r="781" spans="1:34" ht="24.75" x14ac:dyDescent="0.25">
      <c r="A781" s="61" t="s">
        <v>51</v>
      </c>
      <c r="B781" s="1">
        <f>AA775</f>
        <v>1.3060317021926209E-5</v>
      </c>
      <c r="C781" s="59">
        <f>MAX(AC775+1*L768-F775,0)</f>
        <v>0</v>
      </c>
      <c r="D781" s="62" t="s">
        <v>55</v>
      </c>
      <c r="E781" s="1">
        <f>AA775*AA776</f>
        <v>2.3034833916578068E-8</v>
      </c>
      <c r="F781" s="1">
        <f>MAX(AC776+2*L768-F776,0)</f>
        <v>94.666666666666686</v>
      </c>
      <c r="G781" s="62" t="s">
        <v>59</v>
      </c>
      <c r="H781" s="1">
        <f>AA775*AA776*AA777</f>
        <v>4.8511657450310071E-11</v>
      </c>
      <c r="I781" s="1">
        <f>AC777+3*L768-F777</f>
        <v>139.66666666666669</v>
      </c>
      <c r="J781" s="62" t="s">
        <v>83</v>
      </c>
      <c r="K781" s="1">
        <f>AA775*AA776*AA777*AA778</f>
        <v>7.8840882170725164E-14</v>
      </c>
      <c r="L781" s="1">
        <f>AC778+4*L768-F778</f>
        <v>216.33333333333337</v>
      </c>
      <c r="M781" s="1">
        <f>B781*C781*AH775+E781*F781*AH776+H781*I781*AH777+K781*L781*AH778</f>
        <v>8.7971681274097048E-5</v>
      </c>
      <c r="O781" s="1" t="s">
        <v>27</v>
      </c>
      <c r="P781" s="1">
        <f>H766</f>
        <v>1820</v>
      </c>
      <c r="Q781" s="1">
        <f>(K775*(1-P775)*(1-U775)*(1-Z775))+(P775*(1-K775)*(1-U775)*(1-Z775))+(U775*(1-K775)*(1-P775)*(1-Z775))+(Z775*(1-K775)*(1-P775)*(1-U775))</f>
        <v>0.28083409477630866</v>
      </c>
      <c r="R781" s="1">
        <f>Q781*(L$7*(J$5*K$5+L$5)+I$5)</f>
        <v>9897.9976703909997</v>
      </c>
    </row>
    <row r="782" spans="1:34" ht="24.75" x14ac:dyDescent="0.25">
      <c r="A782" s="62" t="s">
        <v>52</v>
      </c>
      <c r="B782" s="1">
        <f>AB775</f>
        <v>0.99998693968297803</v>
      </c>
      <c r="C782" s="59">
        <f>MAX(AC775-F775,0)</f>
        <v>0</v>
      </c>
      <c r="D782" s="62" t="s">
        <v>56</v>
      </c>
      <c r="E782" s="1">
        <f>AA775*AB776+AA776*AB775</f>
        <v>1.7767412593329157E-3</v>
      </c>
      <c r="F782" s="1">
        <f>MAX(AC776+1*L768-F776,0)</f>
        <v>82.666666666666686</v>
      </c>
      <c r="G782" s="62" t="s">
        <v>60</v>
      </c>
      <c r="H782" s="1">
        <f>AA775*AA776*AB777+AA776*AA777*AB775+AA775*AA777*AB776</f>
        <v>3.7648263399793542E-6</v>
      </c>
      <c r="I782" s="1">
        <f>AC777+2*L768-F777</f>
        <v>127.66666666666669</v>
      </c>
      <c r="J782" s="62" t="s">
        <v>59</v>
      </c>
      <c r="K782">
        <f>AB775*AA776*AA777*AA778+AB776*AA775*AA777*AA778*+AB777*AA775*AA776*AA778+AB778*AA775*AA776*AA777</f>
        <v>6.0850284330046954E-9</v>
      </c>
      <c r="L782" s="1">
        <f>AC778+3*L768-F778</f>
        <v>204.33333333333337</v>
      </c>
      <c r="M782" s="1">
        <f>B782*C782*AH775+E782*F782*AH776+H782*I782*AH777+K782*L782*AH778</f>
        <v>5.9280451148295432</v>
      </c>
      <c r="O782" s="1" t="s">
        <v>28</v>
      </c>
      <c r="P782" s="1">
        <f>2*H767</f>
        <v>5440</v>
      </c>
      <c r="Q782" s="1">
        <f t="shared" ref="Q782:Q784" si="82">(K776*(1-P776)*(1-U776)*(1-Z776))+(P776*(1-K776)*(1-U776)*(1-Z776))+(U776*(1-K776)*(1-P776)*(1-Z776))+(Z776*(1-K776)*(1-P776)*(1-U776))</f>
        <v>0.47398342923204934</v>
      </c>
      <c r="R782" s="1">
        <f t="shared" ref="R782:R784" si="83">Q782*(L$7*(J$5*K$5+L$5)+I$5)</f>
        <v>16705.545963283577</v>
      </c>
    </row>
    <row r="783" spans="1:34" ht="24.75" x14ac:dyDescent="0.25">
      <c r="A783" s="1"/>
      <c r="B783" s="1"/>
      <c r="C783" s="1"/>
      <c r="D783" s="62" t="s">
        <v>52</v>
      </c>
      <c r="E783" s="1">
        <f>AB775*AB776</f>
        <v>0.99822323570583316</v>
      </c>
      <c r="F783" s="59">
        <f>MAX(AC776-F776,0)</f>
        <v>70.666666666666686</v>
      </c>
      <c r="G783" s="62" t="s">
        <v>56</v>
      </c>
      <c r="H783" s="1">
        <f>AA775*AB776*AB777+AA776*AB775*AB777*+AA777*AB775*AB776</f>
        <v>1.6709800612609949E-5</v>
      </c>
      <c r="I783" s="1">
        <f>AC777+1*L768-F777</f>
        <v>115.66666666666669</v>
      </c>
      <c r="J783" s="62" t="s">
        <v>60</v>
      </c>
      <c r="K783" s="1">
        <f>AA775*AA776*AB777*AB778 + AA775*AA777*AB776*AB778 + AA775*AA778*AB776*AB777 + AA776*AA777*AB775*AB778 + AA776*AA778*AB775*AB777 + AA777*AA778*AB775*AB776</f>
        <v>1.0056776223256039E-5</v>
      </c>
      <c r="L783" s="1">
        <f>AC778+2*L768-F778</f>
        <v>192.33333333333337</v>
      </c>
      <c r="M783" s="1">
        <f>B783*C783*AH775+E783*F783*AH776+H783*I783*AH777+K783*L783*AH778</f>
        <v>2821.9865455956219</v>
      </c>
      <c r="O783" s="1" t="s">
        <v>29</v>
      </c>
      <c r="P783" s="1">
        <f>2*(F768*(J766*K766+L766)+H768)</f>
        <v>28200</v>
      </c>
      <c r="Q783" s="1">
        <f t="shared" si="82"/>
        <v>0.47082568994438934</v>
      </c>
      <c r="R783" s="1">
        <f t="shared" si="83"/>
        <v>16594.251442090001</v>
      </c>
    </row>
    <row r="784" spans="1:34" ht="24.75" x14ac:dyDescent="0.25">
      <c r="A784" s="1"/>
      <c r="B784" s="1"/>
      <c r="C784" s="1"/>
      <c r="D784" s="1"/>
      <c r="E784" s="1"/>
      <c r="F784" s="1"/>
      <c r="G784" s="62" t="s">
        <v>52</v>
      </c>
      <c r="H784" s="1">
        <f>AB775*AB776*AB777</f>
        <v>0.99612096469120903</v>
      </c>
      <c r="I784" s="63">
        <f>AC777-F777</f>
        <v>103.66666666666669</v>
      </c>
      <c r="J784" s="62" t="s">
        <v>56</v>
      </c>
      <c r="K784" s="1">
        <f>AA775*AB776*AB777*AB778+AA776*AB775*AB777*AB778+AA777*AB775*AB776*AB778+AA778*AB775*AB776*AB777</f>
        <v>5.4878627463226621E-3</v>
      </c>
      <c r="L784" s="1">
        <f>AC778+1*L768-F778</f>
        <v>180.33333333333337</v>
      </c>
      <c r="M784" s="1">
        <f>B784*C784*AH775+E784*F784*AH776+H784*I784*AH777+K784*L784*AH778</f>
        <v>11425.405587684076</v>
      </c>
      <c r="O784" s="1" t="s">
        <v>30</v>
      </c>
      <c r="P784" s="1">
        <v>0</v>
      </c>
      <c r="Q784" s="1">
        <f t="shared" si="82"/>
        <v>0.46894019786346708</v>
      </c>
      <c r="R784" s="1">
        <f t="shared" si="83"/>
        <v>16527.797273697895</v>
      </c>
    </row>
    <row r="785" spans="1:20" ht="30" x14ac:dyDescent="0.25">
      <c r="I785" s="84"/>
      <c r="J785" s="62" t="s">
        <v>52</v>
      </c>
      <c r="K785" s="85">
        <f>AB775*AB776*AB777*AB778</f>
        <v>0.99450207431036708</v>
      </c>
      <c r="L785" s="1">
        <f>AC778+0*L768-F778</f>
        <v>168.33333333333337</v>
      </c>
      <c r="M785" s="1">
        <f>B785*C785*AH775+E785*F785*AH776+H785*I785*AH777+K785*L785*AH778</f>
        <v>11216.325894763759</v>
      </c>
      <c r="O785" s="64" t="s">
        <v>65</v>
      </c>
      <c r="P785" s="65">
        <f>SUM(P781:P784)</f>
        <v>35460</v>
      </c>
      <c r="Q785" s="96" t="s">
        <v>108</v>
      </c>
      <c r="R785" s="97">
        <f>SUM(R781:R784)</f>
        <v>59725.592349462473</v>
      </c>
    </row>
    <row r="786" spans="1:20" x14ac:dyDescent="0.25">
      <c r="L786" s="176" t="s">
        <v>63</v>
      </c>
      <c r="M786" s="177">
        <f>SUM(M781:M785)</f>
        <v>25469.646161129967</v>
      </c>
    </row>
    <row r="787" spans="1:20" x14ac:dyDescent="0.25">
      <c r="L787" s="176"/>
      <c r="M787" s="177"/>
    </row>
    <row r="788" spans="1:20" x14ac:dyDescent="0.25">
      <c r="A788" s="178" t="s">
        <v>90</v>
      </c>
      <c r="B788" s="178"/>
      <c r="C788" s="178"/>
      <c r="D788" s="178"/>
      <c r="E788" s="178"/>
      <c r="F788" s="178"/>
      <c r="G788" s="178"/>
      <c r="H788" s="178"/>
      <c r="I788" s="178"/>
      <c r="J788" s="178"/>
      <c r="K788" s="178"/>
      <c r="L788" s="178"/>
      <c r="M788" s="178"/>
      <c r="N788" s="178"/>
    </row>
    <row r="789" spans="1:20" ht="15.75" x14ac:dyDescent="0.25">
      <c r="A789" s="87" t="s">
        <v>86</v>
      </c>
      <c r="B789" s="62" t="s">
        <v>49</v>
      </c>
      <c r="C789" s="90" t="s">
        <v>103</v>
      </c>
      <c r="D789" s="62" t="s">
        <v>88</v>
      </c>
      <c r="E789" s="87" t="s">
        <v>75</v>
      </c>
      <c r="F789" s="62" t="s">
        <v>57</v>
      </c>
      <c r="G789" s="90" t="s">
        <v>87</v>
      </c>
      <c r="H789" s="62" t="s">
        <v>88</v>
      </c>
      <c r="I789" s="87" t="s">
        <v>77</v>
      </c>
      <c r="J789" s="62" t="s">
        <v>61</v>
      </c>
      <c r="K789" s="90" t="s">
        <v>78</v>
      </c>
      <c r="L789" s="62" t="s">
        <v>88</v>
      </c>
      <c r="M789" s="87" t="s">
        <v>76</v>
      </c>
      <c r="N789" s="62" t="s">
        <v>84</v>
      </c>
      <c r="O789" s="90" t="s">
        <v>102</v>
      </c>
      <c r="P789" s="62" t="s">
        <v>88</v>
      </c>
    </row>
    <row r="790" spans="1:20" ht="24.75" x14ac:dyDescent="0.25">
      <c r="A790" s="62" t="s">
        <v>51</v>
      </c>
      <c r="B790" s="86">
        <v>1.3060317021926209E-5</v>
      </c>
      <c r="C790" s="86">
        <f>AC775+1*L768</f>
        <v>81.666666666666671</v>
      </c>
      <c r="D790" s="86">
        <f>MAX(B790*1.5*((C790-F775)*500/2),0)</f>
        <v>0</v>
      </c>
      <c r="E790" s="62" t="s">
        <v>55</v>
      </c>
      <c r="F790" s="86">
        <v>2.3034833916578068E-8</v>
      </c>
      <c r="G790" s="86">
        <f>AC776+2*L768</f>
        <v>170.66666666666669</v>
      </c>
      <c r="H790" s="86">
        <f>F790*1.5*((G790-F776)*500/2+(G790-F777)*500+(G790-F778)*500)</f>
        <v>3.2421528737583642E-3</v>
      </c>
      <c r="I790" s="62" t="s">
        <v>59</v>
      </c>
      <c r="J790" s="86">
        <v>4.8511657450310071E-11</v>
      </c>
      <c r="K790" s="86">
        <f>AC777+3*L768</f>
        <v>245.66666666666669</v>
      </c>
      <c r="L790" s="86">
        <f>J790*1.5*((K790-G790)*500/2+(K790-G790)*500)</f>
        <v>4.0931710973699117E-6</v>
      </c>
      <c r="M790" s="62" t="s">
        <v>83</v>
      </c>
      <c r="N790" s="86">
        <v>7.8840882170725164E-14</v>
      </c>
      <c r="O790" s="86">
        <f>AC778+4*L768</f>
        <v>311.33333333333337</v>
      </c>
      <c r="P790" s="86">
        <f>N790*1.5*((O790-K790)*500/2)</f>
        <v>1.9414567234541076E-9</v>
      </c>
    </row>
    <row r="791" spans="1:20" ht="24.75" x14ac:dyDescent="0.25">
      <c r="A791" s="62" t="s">
        <v>52</v>
      </c>
      <c r="B791" s="86">
        <v>0.99998693968297803</v>
      </c>
      <c r="C791" s="88">
        <f>AC775</f>
        <v>69.666666666666671</v>
      </c>
      <c r="D791" s="86">
        <f>MAX(B791*1.5*((C791-F775)*500/2),0)</f>
        <v>0</v>
      </c>
      <c r="E791" s="62" t="s">
        <v>56</v>
      </c>
      <c r="F791" s="86">
        <v>1.7767412593329157E-3</v>
      </c>
      <c r="G791" s="86">
        <f>AC776+1*L768</f>
        <v>158.66666666666669</v>
      </c>
      <c r="H791" s="86">
        <f>F791*1.5*((G791-F776)*500/2+(G791-F777)*500+(G791-F778)*500)</f>
        <v>210.09965391611735</v>
      </c>
      <c r="I791" s="62" t="s">
        <v>60</v>
      </c>
      <c r="J791" s="86">
        <v>3.7648263399793542E-6</v>
      </c>
      <c r="K791" s="86">
        <f>AC777+2*L768</f>
        <v>233.66666666666669</v>
      </c>
      <c r="L791" s="86">
        <f>J791*1.5*((K791-G791)*500/2+(K791-G791)*500)</f>
        <v>0.317657222435758</v>
      </c>
      <c r="M791" s="62" t="s">
        <v>59</v>
      </c>
      <c r="N791" s="86">
        <v>6.0850284330046954E-9</v>
      </c>
      <c r="O791" s="86">
        <f>AC778+3*L768</f>
        <v>299.33333333333337</v>
      </c>
      <c r="P791" s="86">
        <f>N791*1.5*((O791-K791)*500/2)</f>
        <v>1.4984382516274066E-4</v>
      </c>
    </row>
    <row r="792" spans="1:20" x14ac:dyDescent="0.25">
      <c r="A792" s="86"/>
      <c r="B792" s="86"/>
      <c r="C792" s="89" t="s">
        <v>89</v>
      </c>
      <c r="D792" s="89">
        <f>SUM(D790:D791)</f>
        <v>0</v>
      </c>
      <c r="E792" s="62" t="s">
        <v>52</v>
      </c>
      <c r="F792" s="86">
        <v>0.99822323570583316</v>
      </c>
      <c r="G792" s="86">
        <f>AC776+0*L768</f>
        <v>146.66666666666669</v>
      </c>
      <c r="H792" s="86">
        <f>F792*1.5*((G792-F776)*500/2+(G792-F777)*500+(G792-F778)*500)</f>
        <v>95579.874818833574</v>
      </c>
      <c r="I792" s="62" t="s">
        <v>56</v>
      </c>
      <c r="J792" s="86">
        <v>1.6709800612609949E-5</v>
      </c>
      <c r="K792" s="86">
        <f>AC777+1*L768</f>
        <v>221.66666666666669</v>
      </c>
      <c r="L792" s="86">
        <f>J792*1.5*((K792-G792)*500/2+(K792-G792)*500)</f>
        <v>1.4098894266889646</v>
      </c>
      <c r="M792" s="62" t="s">
        <v>60</v>
      </c>
      <c r="N792" s="86">
        <v>1.0056776223256039E-5</v>
      </c>
      <c r="O792" s="86">
        <f>AC778+2*L768</f>
        <v>287.33333333333337</v>
      </c>
      <c r="P792" s="86">
        <f>N792*1.5*((O792-K792)*500/2)</f>
        <v>0.24764811449768004</v>
      </c>
    </row>
    <row r="793" spans="1:20" x14ac:dyDescent="0.25">
      <c r="A793" s="86"/>
      <c r="B793" s="86"/>
      <c r="C793" s="86"/>
      <c r="D793" s="86"/>
      <c r="E793" s="86"/>
      <c r="F793" s="86"/>
      <c r="G793" s="89" t="s">
        <v>79</v>
      </c>
      <c r="H793" s="89">
        <f>SUM(H790:H792)</f>
        <v>95789.977714902561</v>
      </c>
      <c r="I793" s="62" t="s">
        <v>52</v>
      </c>
      <c r="J793" s="86">
        <v>0.99612096469120903</v>
      </c>
      <c r="K793" s="86">
        <f>AC777+0*L768</f>
        <v>209.66666666666669</v>
      </c>
      <c r="L793" s="86">
        <f>J793*1.5*((K793-G792)*500/2+(K793-G792)*500)</f>
        <v>70600.073372489438</v>
      </c>
      <c r="M793" s="62" t="s">
        <v>56</v>
      </c>
      <c r="N793" s="86">
        <v>5.4878627463226621E-3</v>
      </c>
      <c r="O793" s="86">
        <f>AC778+1*L768</f>
        <v>275.33333333333337</v>
      </c>
      <c r="P793" s="86">
        <f>N793*1.5*((O793-K793)*500/2)</f>
        <v>135.13862012819558</v>
      </c>
    </row>
    <row r="794" spans="1:20" x14ac:dyDescent="0.25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9" t="s">
        <v>79</v>
      </c>
      <c r="L794" s="89">
        <f>SUM(L790:L793)</f>
        <v>70601.800923231727</v>
      </c>
      <c r="M794" s="62" t="s">
        <v>52</v>
      </c>
      <c r="N794" s="86">
        <v>0.99450207431036708</v>
      </c>
      <c r="O794" s="86">
        <f>AC778+0*L768</f>
        <v>263.33333333333337</v>
      </c>
      <c r="P794" s="86">
        <f>N794*1.5*((O794-K793)*500/2)</f>
        <v>20014.354245496146</v>
      </c>
      <c r="Q794" s="179" t="s">
        <v>80</v>
      </c>
      <c r="R794" s="179"/>
      <c r="S794" s="180">
        <f>D792+H793+L794+P795</f>
        <v>186541.51930171892</v>
      </c>
      <c r="T794" s="180"/>
    </row>
    <row r="795" spans="1:20" x14ac:dyDescent="0.25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9" t="s">
        <v>79</v>
      </c>
      <c r="P795" s="89">
        <f>SUM(P790:P794)</f>
        <v>20149.740663584605</v>
      </c>
      <c r="Q795" s="179"/>
      <c r="R795" s="179"/>
      <c r="S795" s="180"/>
      <c r="T795" s="180"/>
    </row>
    <row r="796" spans="1:20" x14ac:dyDescent="0.25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</row>
    <row r="797" spans="1:20" x14ac:dyDescent="0.25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</row>
    <row r="798" spans="1:20" x14ac:dyDescent="0.25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</row>
    <row r="799" spans="1:20" ht="24.75" thickBot="1" x14ac:dyDescent="0.3">
      <c r="O799" s="131" t="s">
        <v>81</v>
      </c>
      <c r="P799" s="131"/>
      <c r="Q799" s="131">
        <f>(R785+P785+M786+S794)/AC778</f>
        <v>1166.5699663758658</v>
      </c>
      <c r="R799" s="131"/>
    </row>
    <row r="800" spans="1:20" x14ac:dyDescent="0.25">
      <c r="A800" s="181" t="s">
        <v>126</v>
      </c>
      <c r="B800" s="182"/>
    </row>
    <row r="801" spans="1:34" ht="15.75" thickBot="1" x14ac:dyDescent="0.3">
      <c r="A801" s="183"/>
      <c r="B801" s="184"/>
    </row>
    <row r="802" spans="1:34" ht="21" x14ac:dyDescent="0.35">
      <c r="A802" s="185" t="s">
        <v>14</v>
      </c>
      <c r="B802" s="185"/>
      <c r="C802" s="165"/>
      <c r="D802" s="165"/>
      <c r="E802" s="165"/>
      <c r="F802" s="165"/>
      <c r="G802" s="165"/>
      <c r="H802" s="165"/>
      <c r="I802" s="165"/>
      <c r="J802" s="165"/>
      <c r="K802" s="165"/>
      <c r="L802" s="165"/>
      <c r="M802" s="165"/>
      <c r="O802" s="166" t="s">
        <v>72</v>
      </c>
      <c r="P802" s="166"/>
      <c r="Q802" s="166"/>
      <c r="R802" s="166"/>
      <c r="S802" s="166"/>
      <c r="T802" s="166"/>
      <c r="U802" s="166"/>
      <c r="V802" s="166"/>
    </row>
    <row r="803" spans="1:34" ht="36" x14ac:dyDescent="0.25">
      <c r="A803" s="4" t="s">
        <v>15</v>
      </c>
      <c r="B803" s="4" t="s">
        <v>16</v>
      </c>
      <c r="C803" s="4" t="s">
        <v>31</v>
      </c>
      <c r="D803" s="6" t="s">
        <v>17</v>
      </c>
      <c r="E803" s="6" t="s">
        <v>18</v>
      </c>
      <c r="F803" s="6" t="s">
        <v>19</v>
      </c>
      <c r="G803" s="6" t="s">
        <v>20</v>
      </c>
      <c r="H803" s="6" t="s">
        <v>21</v>
      </c>
      <c r="I803" s="6" t="s">
        <v>22</v>
      </c>
      <c r="J803" s="6" t="s">
        <v>23</v>
      </c>
      <c r="K803" s="6" t="s">
        <v>24</v>
      </c>
      <c r="L803" s="6" t="s">
        <v>25</v>
      </c>
      <c r="M803" s="6" t="s">
        <v>26</v>
      </c>
      <c r="N803" s="8"/>
      <c r="O803" s="167" t="s">
        <v>32</v>
      </c>
      <c r="P803" s="167" t="s">
        <v>35</v>
      </c>
      <c r="Q803" s="167" t="s">
        <v>66</v>
      </c>
      <c r="R803" s="99" t="s">
        <v>67</v>
      </c>
      <c r="S803" s="99" t="s">
        <v>68</v>
      </c>
      <c r="T803" s="167" t="s">
        <v>69</v>
      </c>
      <c r="U803" s="71" t="s">
        <v>33</v>
      </c>
      <c r="V803" s="99" t="s">
        <v>70</v>
      </c>
    </row>
    <row r="804" spans="1:34" x14ac:dyDescent="0.25">
      <c r="A804" s="3" t="s">
        <v>27</v>
      </c>
      <c r="B804" s="3">
        <v>0</v>
      </c>
      <c r="C804" s="3">
        <v>0.3</v>
      </c>
      <c r="D804" s="3">
        <v>243</v>
      </c>
      <c r="E804" s="3">
        <v>1.73</v>
      </c>
      <c r="F804" s="3">
        <v>5</v>
      </c>
      <c r="G804" s="169">
        <v>12</v>
      </c>
      <c r="H804" s="3">
        <v>1820</v>
      </c>
      <c r="I804" s="169">
        <v>19645</v>
      </c>
      <c r="J804" s="3">
        <v>20</v>
      </c>
      <c r="K804" s="3">
        <v>40</v>
      </c>
      <c r="L804" s="3">
        <v>500</v>
      </c>
      <c r="M804" s="3">
        <v>1000</v>
      </c>
      <c r="O804" s="168"/>
      <c r="P804" s="168"/>
      <c r="Q804" s="168"/>
      <c r="R804" s="72" t="s">
        <v>71</v>
      </c>
      <c r="S804" s="72" t="s">
        <v>71</v>
      </c>
      <c r="T804" s="168"/>
      <c r="U804" s="73">
        <v>500</v>
      </c>
      <c r="V804" s="3">
        <v>1.5</v>
      </c>
    </row>
    <row r="805" spans="1:34" x14ac:dyDescent="0.25">
      <c r="A805" s="3" t="s">
        <v>28</v>
      </c>
      <c r="B805" s="3">
        <v>0</v>
      </c>
      <c r="C805" s="3">
        <v>0.3</v>
      </c>
      <c r="D805" s="3">
        <v>254</v>
      </c>
      <c r="E805" s="3">
        <v>1.88</v>
      </c>
      <c r="F805" s="3">
        <v>3</v>
      </c>
      <c r="G805" s="170"/>
      <c r="H805" s="3">
        <v>2720</v>
      </c>
      <c r="I805" s="170"/>
      <c r="J805" s="5"/>
      <c r="K805" s="5"/>
      <c r="L805" s="5"/>
      <c r="M805" s="5"/>
      <c r="O805" s="74">
        <v>1</v>
      </c>
      <c r="P805" s="74">
        <v>106</v>
      </c>
      <c r="Q805" s="74">
        <v>110</v>
      </c>
      <c r="R805" s="74">
        <v>6</v>
      </c>
      <c r="S805" s="74">
        <v>5</v>
      </c>
      <c r="T805" s="74">
        <f>R805*$U$5/60+S805</f>
        <v>55</v>
      </c>
      <c r="U805" s="75"/>
    </row>
    <row r="806" spans="1:34" x14ac:dyDescent="0.25">
      <c r="A806" s="3" t="s">
        <v>29</v>
      </c>
      <c r="B806" s="3">
        <v>0</v>
      </c>
      <c r="C806" s="3">
        <v>0.3</v>
      </c>
      <c r="D806" s="3">
        <v>143</v>
      </c>
      <c r="E806" s="3">
        <v>2.4300000000000002</v>
      </c>
      <c r="F806" s="3">
        <v>8</v>
      </c>
      <c r="G806" s="170"/>
      <c r="H806" s="3">
        <v>3700</v>
      </c>
      <c r="I806" s="170"/>
      <c r="J806" s="5"/>
      <c r="K806" s="140" t="s">
        <v>73</v>
      </c>
      <c r="L806" s="141">
        <v>12</v>
      </c>
      <c r="M806" s="140" t="s">
        <v>74</v>
      </c>
      <c r="N806" s="141">
        <v>19645</v>
      </c>
      <c r="O806" s="74">
        <v>2</v>
      </c>
      <c r="P806" s="74">
        <v>76</v>
      </c>
      <c r="Q806" s="74">
        <v>40</v>
      </c>
      <c r="R806" s="74">
        <v>9</v>
      </c>
      <c r="S806" s="74">
        <v>2</v>
      </c>
      <c r="T806" s="74">
        <f t="shared" ref="T806:T808" si="84">R806*$U$5/60+S806</f>
        <v>77</v>
      </c>
      <c r="U806" s="75"/>
    </row>
    <row r="807" spans="1:34" x14ac:dyDescent="0.25">
      <c r="A807" s="3" t="s">
        <v>30</v>
      </c>
      <c r="B807" s="3">
        <v>0</v>
      </c>
      <c r="C807" s="3">
        <v>0.3</v>
      </c>
      <c r="D807" s="3">
        <v>449</v>
      </c>
      <c r="E807" s="3">
        <v>2.5299999999999998</v>
      </c>
      <c r="F807" s="3">
        <v>4</v>
      </c>
      <c r="G807" s="171"/>
      <c r="H807" s="3">
        <v>4320</v>
      </c>
      <c r="I807" s="171"/>
      <c r="J807" s="5"/>
      <c r="K807" s="140"/>
      <c r="L807" s="141"/>
      <c r="M807" s="140"/>
      <c r="N807" s="141"/>
      <c r="O807" s="74">
        <v>3</v>
      </c>
      <c r="P807" s="74">
        <v>95</v>
      </c>
      <c r="Q807" s="74">
        <v>67</v>
      </c>
      <c r="R807" s="74">
        <v>5</v>
      </c>
      <c r="S807" s="74">
        <v>4</v>
      </c>
      <c r="T807" s="74">
        <f t="shared" si="84"/>
        <v>45.666666666666664</v>
      </c>
      <c r="U807" s="75"/>
    </row>
    <row r="808" spans="1:34" ht="15.75" thickBo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O808" s="74">
        <v>4</v>
      </c>
      <c r="P808" s="74">
        <v>140</v>
      </c>
      <c r="Q808" s="94">
        <v>85</v>
      </c>
      <c r="R808" s="94">
        <v>8</v>
      </c>
      <c r="S808" s="94">
        <v>3</v>
      </c>
      <c r="T808" s="74">
        <f t="shared" si="84"/>
        <v>69.666666666666671</v>
      </c>
    </row>
    <row r="809" spans="1:34" ht="15" customHeight="1" x14ac:dyDescent="0.25">
      <c r="A809" s="142" t="s">
        <v>101</v>
      </c>
      <c r="B809" s="144" t="s">
        <v>107</v>
      </c>
      <c r="C809" s="144"/>
      <c r="D809" s="144"/>
      <c r="E809" s="144"/>
      <c r="F809" s="20" t="s">
        <v>27</v>
      </c>
      <c r="G809" s="20" t="s">
        <v>28</v>
      </c>
      <c r="H809" s="20" t="s">
        <v>29</v>
      </c>
      <c r="I809" s="20" t="s">
        <v>30</v>
      </c>
    </row>
    <row r="810" spans="1:34" ht="15.75" customHeight="1" thickBot="1" x14ac:dyDescent="0.3">
      <c r="A810" s="143"/>
      <c r="B810" s="145"/>
      <c r="C810" s="145"/>
      <c r="D810" s="145"/>
      <c r="E810" s="145"/>
      <c r="F810" s="20">
        <v>168</v>
      </c>
      <c r="G810" s="26">
        <v>84</v>
      </c>
      <c r="H810" s="26">
        <v>84</v>
      </c>
      <c r="I810" s="26">
        <v>252</v>
      </c>
    </row>
    <row r="811" spans="1:34" ht="15.75" customHeight="1" thickBot="1" x14ac:dyDescent="0.3">
      <c r="A811" s="143"/>
      <c r="B811" s="145"/>
      <c r="C811" s="145"/>
      <c r="D811" s="145"/>
      <c r="E811" s="145"/>
      <c r="F811" s="7"/>
      <c r="G811" s="146" t="s">
        <v>27</v>
      </c>
      <c r="H811" s="147"/>
      <c r="I811" s="147"/>
      <c r="J811" s="147"/>
      <c r="K811" s="148"/>
      <c r="L811" s="149" t="s">
        <v>28</v>
      </c>
      <c r="M811" s="150"/>
      <c r="N811" s="150"/>
      <c r="O811" s="150"/>
      <c r="P811" s="151"/>
      <c r="Q811" s="152" t="s">
        <v>29</v>
      </c>
      <c r="R811" s="153"/>
      <c r="S811" s="153"/>
      <c r="T811" s="153"/>
      <c r="U811" s="154"/>
      <c r="V811" s="155" t="s">
        <v>30</v>
      </c>
      <c r="W811" s="156"/>
      <c r="X811" s="156"/>
      <c r="Y811" s="156"/>
      <c r="Z811" s="157"/>
      <c r="AA811" s="158" t="s">
        <v>42</v>
      </c>
      <c r="AB811" s="159"/>
      <c r="AC811" s="160" t="s">
        <v>44</v>
      </c>
      <c r="AD811" s="162" t="s">
        <v>47</v>
      </c>
      <c r="AE811" s="163"/>
      <c r="AF811" s="163"/>
      <c r="AG811" s="164"/>
      <c r="AH811" s="138" t="s">
        <v>62</v>
      </c>
    </row>
    <row r="812" spans="1:34" ht="36.75" x14ac:dyDescent="0.25">
      <c r="A812" s="21" t="s">
        <v>32</v>
      </c>
      <c r="B812" s="22" t="s">
        <v>37</v>
      </c>
      <c r="C812" s="23" t="s">
        <v>33</v>
      </c>
      <c r="D812" s="22" t="s">
        <v>38</v>
      </c>
      <c r="E812" s="22" t="s">
        <v>34</v>
      </c>
      <c r="F812" s="25" t="s">
        <v>35</v>
      </c>
      <c r="G812" s="27" t="s">
        <v>39</v>
      </c>
      <c r="H812" s="10" t="s">
        <v>40</v>
      </c>
      <c r="I812" s="10" t="s">
        <v>45</v>
      </c>
      <c r="J812" s="10" t="s">
        <v>46</v>
      </c>
      <c r="K812" s="28" t="s">
        <v>41</v>
      </c>
      <c r="L812" s="30" t="s">
        <v>39</v>
      </c>
      <c r="M812" s="13" t="s">
        <v>40</v>
      </c>
      <c r="N812" s="13" t="s">
        <v>45</v>
      </c>
      <c r="O812" s="13" t="s">
        <v>46</v>
      </c>
      <c r="P812" s="31" t="s">
        <v>41</v>
      </c>
      <c r="Q812" s="33" t="s">
        <v>39</v>
      </c>
      <c r="R812" s="12" t="s">
        <v>40</v>
      </c>
      <c r="S812" s="12" t="s">
        <v>45</v>
      </c>
      <c r="T812" s="12" t="s">
        <v>46</v>
      </c>
      <c r="U812" s="34" t="s">
        <v>41</v>
      </c>
      <c r="V812" s="36" t="s">
        <v>39</v>
      </c>
      <c r="W812" s="11" t="s">
        <v>40</v>
      </c>
      <c r="X812" s="11" t="s">
        <v>45</v>
      </c>
      <c r="Y812" s="11" t="s">
        <v>46</v>
      </c>
      <c r="Z812" s="37" t="s">
        <v>41</v>
      </c>
      <c r="AA812" s="39" t="s">
        <v>41</v>
      </c>
      <c r="AB812" s="40" t="s">
        <v>43</v>
      </c>
      <c r="AC812" s="161"/>
      <c r="AD812" s="43" t="s">
        <v>27</v>
      </c>
      <c r="AE812" s="1" t="s">
        <v>28</v>
      </c>
      <c r="AF812" s="1" t="s">
        <v>29</v>
      </c>
      <c r="AG812" s="1" t="s">
        <v>30</v>
      </c>
      <c r="AH812" s="139"/>
    </row>
    <row r="813" spans="1:34" x14ac:dyDescent="0.25">
      <c r="A813" s="24">
        <v>4</v>
      </c>
      <c r="B813" s="9">
        <v>8</v>
      </c>
      <c r="C813" s="9">
        <v>500</v>
      </c>
      <c r="D813" s="9">
        <v>3</v>
      </c>
      <c r="E813" s="48">
        <f>B813*C813/60+D813</f>
        <v>69.666666666666671</v>
      </c>
      <c r="F813" s="100">
        <v>140</v>
      </c>
      <c r="G813" s="49">
        <f>B$5*(1-AD813*C$5)</f>
        <v>0</v>
      </c>
      <c r="H813" s="50">
        <f>G813+E813</f>
        <v>69.666666666666671</v>
      </c>
      <c r="I813" s="15">
        <f>(H813/D$5)^E$5</f>
        <v>0.11516869637804684</v>
      </c>
      <c r="J813" s="15">
        <f>(G813/D$5)^E$5</f>
        <v>0</v>
      </c>
      <c r="K813" s="29">
        <f>1-EXP(J813-I813)</f>
        <v>0.10878421365041502</v>
      </c>
      <c r="L813" s="51">
        <f>B$6*(1-AE813*C$6)</f>
        <v>0</v>
      </c>
      <c r="M813" s="52">
        <f>L813+E813</f>
        <v>69.666666666666671</v>
      </c>
      <c r="N813" s="17">
        <f>(M813/D$6)^E$6</f>
        <v>8.7861714115895329E-2</v>
      </c>
      <c r="O813" s="17">
        <f>(L813/D$6)^E$6</f>
        <v>0</v>
      </c>
      <c r="P813" s="32">
        <f>1-EXP(O813-N813)</f>
        <v>8.4112477717763534E-2</v>
      </c>
      <c r="Q813" s="53">
        <f>B$7*(1-AF813*C$7)</f>
        <v>0</v>
      </c>
      <c r="R813" s="54">
        <f>Q813+E813</f>
        <v>69.666666666666671</v>
      </c>
      <c r="S813" s="16">
        <f>(R813/D$7)^E$7</f>
        <v>0.17421448251746105</v>
      </c>
      <c r="T813" s="16">
        <f>(Q813/D$7)^E$7</f>
        <v>0</v>
      </c>
      <c r="U813" s="35">
        <f>1-EXP(T813-S813)</f>
        <v>0.15988331200899064</v>
      </c>
      <c r="V813" s="55">
        <f>B$8*(1-AG813*C$8)</f>
        <v>0</v>
      </c>
      <c r="W813" s="56">
        <f>V813+E813</f>
        <v>69.666666666666671</v>
      </c>
      <c r="X813" s="18">
        <f>(W813/D$8)^E$8</f>
        <v>8.9674731846197935E-3</v>
      </c>
      <c r="Y813" s="18">
        <f>(V813/D$8)^E$8</f>
        <v>0</v>
      </c>
      <c r="Z813" s="38">
        <f>1-EXP(Y813-X813)</f>
        <v>8.9273853154187011E-3</v>
      </c>
      <c r="AA813" s="41">
        <f>K813*P813*U813*Z813</f>
        <v>1.3060317021926209E-5</v>
      </c>
      <c r="AB813" s="42">
        <f>1-AA813</f>
        <v>0.99998693968297803</v>
      </c>
      <c r="AC813" s="47">
        <f>(AD813*F$5+AE813*F$6+AF813*F$7+AG813*F$8)+E813</f>
        <v>69.666666666666671</v>
      </c>
      <c r="AD813" s="43">
        <v>0</v>
      </c>
      <c r="AE813" s="1">
        <v>0</v>
      </c>
      <c r="AF813" s="1">
        <v>0</v>
      </c>
      <c r="AG813" s="1">
        <v>0</v>
      </c>
      <c r="AH813" s="74">
        <v>85</v>
      </c>
    </row>
    <row r="814" spans="1:34" x14ac:dyDescent="0.25">
      <c r="A814" s="76">
        <v>2</v>
      </c>
      <c r="B814" s="58">
        <v>9</v>
      </c>
      <c r="C814" s="9">
        <v>500</v>
      </c>
      <c r="D814" s="58">
        <v>2</v>
      </c>
      <c r="E814" s="48">
        <f t="shared" ref="E814:E816" si="85">B814*C814/60+D814</f>
        <v>77</v>
      </c>
      <c r="F814" s="100">
        <v>76</v>
      </c>
      <c r="G814" s="49">
        <f>H813*(1-AD814*C$5)</f>
        <v>69.666666666666671</v>
      </c>
      <c r="H814" s="50">
        <f>G814+E814</f>
        <v>146.66666666666669</v>
      </c>
      <c r="I814" s="15">
        <f>(H814/D$5)^E$5</f>
        <v>0.41749810283193062</v>
      </c>
      <c r="J814" s="15">
        <f>(G814/D$5)^E$5</f>
        <v>0.11516869637804684</v>
      </c>
      <c r="K814" s="29">
        <f>1-EXP(J814-I814)</f>
        <v>0.26090543773277519</v>
      </c>
      <c r="L814" s="51">
        <f>M813*(1-AE814*C$6)</f>
        <v>69.666666666666671</v>
      </c>
      <c r="M814" s="52">
        <f>L814+E814</f>
        <v>146.66666666666669</v>
      </c>
      <c r="N814" s="17">
        <f>(M814/D$6)^E$6</f>
        <v>0.35613584348340649</v>
      </c>
      <c r="O814" s="17">
        <f>(L814/D$6)^E$6</f>
        <v>8.7861714115895329E-2</v>
      </c>
      <c r="P814" s="32">
        <f>1-EXP(O814-N814)</f>
        <v>0.23530187384577195</v>
      </c>
      <c r="Q814" s="53">
        <f>R813*(1-AF814*C$7)</f>
        <v>69.666666666666671</v>
      </c>
      <c r="R814" s="54">
        <f>Q814+E814</f>
        <v>146.66666666666669</v>
      </c>
      <c r="S814" s="16">
        <f>(R814/D$7)^E$7</f>
        <v>1.0634541830073496</v>
      </c>
      <c r="T814" s="16">
        <f>(Q814/D$7)^E$7</f>
        <v>0.17421448251746105</v>
      </c>
      <c r="U814" s="35">
        <f>1-EXP(T814-S814)</f>
        <v>0.58903190715905007</v>
      </c>
      <c r="V814" s="55">
        <f>W813*(1-AG814*C$8)</f>
        <v>69.666666666666671</v>
      </c>
      <c r="W814" s="56">
        <f>V814+E814</f>
        <v>146.66666666666669</v>
      </c>
      <c r="X814" s="18">
        <f>(W814/D$8)^E$8</f>
        <v>5.897056032024859E-2</v>
      </c>
      <c r="Y814" s="18">
        <f>(V814/D$8)^E$8</f>
        <v>8.9674731846197935E-3</v>
      </c>
      <c r="Z814" s="38">
        <f>1-EXP(Y814-X814)</f>
        <v>4.8773512069000713E-2</v>
      </c>
      <c r="AA814" s="41">
        <f>K814*P814*U814*Z814</f>
        <v>1.7637270119788228E-3</v>
      </c>
      <c r="AB814" s="42">
        <f>1-AA814</f>
        <v>0.9982362729880212</v>
      </c>
      <c r="AC814" s="47">
        <f>AF814*F$7+E814+AC813</f>
        <v>146.66666666666669</v>
      </c>
      <c r="AD814" s="43">
        <v>0</v>
      </c>
      <c r="AE814" s="1">
        <v>0</v>
      </c>
      <c r="AF814" s="1">
        <v>0</v>
      </c>
      <c r="AG814" s="1">
        <v>0</v>
      </c>
      <c r="AH814" s="74">
        <v>40</v>
      </c>
    </row>
    <row r="815" spans="1:34" x14ac:dyDescent="0.25">
      <c r="A815" s="24">
        <v>3</v>
      </c>
      <c r="B815" s="9">
        <v>5</v>
      </c>
      <c r="C815" s="58">
        <v>500</v>
      </c>
      <c r="D815" s="58">
        <v>4</v>
      </c>
      <c r="E815" s="48">
        <f t="shared" si="85"/>
        <v>45.666666666666664</v>
      </c>
      <c r="F815" s="100">
        <v>95</v>
      </c>
      <c r="G815" s="68">
        <f>H814*(1-AD815*C$5)</f>
        <v>146.66666666666669</v>
      </c>
      <c r="H815" s="69">
        <f>G815+E815</f>
        <v>192.33333333333334</v>
      </c>
      <c r="I815" s="70">
        <f>(H815/D$5)^E$5</f>
        <v>0.66729140773810391</v>
      </c>
      <c r="J815" s="70">
        <f>(G815/D$5)^E$5</f>
        <v>0.41749810283193062</v>
      </c>
      <c r="K815" s="29">
        <f>1-EXP(J815-I815)</f>
        <v>0.22103822599022049</v>
      </c>
      <c r="L815" s="51">
        <f>M814*(1-AE815*C$6)</f>
        <v>102.66666666666667</v>
      </c>
      <c r="M815" s="52">
        <f>L815+E815</f>
        <v>148.33333333333334</v>
      </c>
      <c r="N815" s="17">
        <f>(M815/D$6)^E$6</f>
        <v>0.36378222468595994</v>
      </c>
      <c r="O815" s="17">
        <f>(L815/D$6)^E$6</f>
        <v>0.18213776408892768</v>
      </c>
      <c r="P815" s="32">
        <f>1-EXP(O815-N815)</f>
        <v>0.16610222876808511</v>
      </c>
      <c r="Q815" s="53">
        <f>R814*(1-AF815*C$7)</f>
        <v>102.66666666666667</v>
      </c>
      <c r="R815" s="54">
        <f>Q815+E815</f>
        <v>148.33333333333334</v>
      </c>
      <c r="S815" s="16">
        <f>(R815/D$7)^E$7</f>
        <v>1.0930590055302554</v>
      </c>
      <c r="T815" s="16">
        <f>(Q815/D$7)^E$7</f>
        <v>0.44699948326797367</v>
      </c>
      <c r="U815" s="35">
        <f>1-EXP(T815-S815)</f>
        <v>0.4758930551511471</v>
      </c>
      <c r="V815" s="55">
        <f>W814*(1-AG815*C$8)</f>
        <v>146.66666666666669</v>
      </c>
      <c r="W815" s="56">
        <f>V815+E815</f>
        <v>192.33333333333334</v>
      </c>
      <c r="X815" s="18">
        <f>(W815/D$8)^E$8</f>
        <v>0.11707786390726455</v>
      </c>
      <c r="Y815" s="18">
        <f>(V815/D$8)^E$8</f>
        <v>5.897056032024859E-2</v>
      </c>
      <c r="Z815" s="38">
        <f>1-EXP(Y815-X815)</f>
        <v>5.6451304155022197E-2</v>
      </c>
      <c r="AA815" s="41">
        <f>K815*P815*U815*Z815</f>
        <v>9.8633897123583721E-4</v>
      </c>
      <c r="AB815" s="42">
        <f>1-AA815</f>
        <v>0.99901366102876421</v>
      </c>
      <c r="AC815" s="47">
        <f>(AF815*F$7)+E815+AC814</f>
        <v>200.33333333333334</v>
      </c>
      <c r="AD815" s="77">
        <v>0</v>
      </c>
      <c r="AE815" s="78">
        <v>1</v>
      </c>
      <c r="AF815" s="78">
        <v>1</v>
      </c>
      <c r="AG815" s="78">
        <v>0</v>
      </c>
      <c r="AH815" s="74">
        <v>67</v>
      </c>
    </row>
    <row r="816" spans="1:34" ht="15.75" thickBot="1" x14ac:dyDescent="0.3">
      <c r="A816" s="57">
        <v>1</v>
      </c>
      <c r="B816" s="58">
        <v>6</v>
      </c>
      <c r="C816" s="58">
        <v>500</v>
      </c>
      <c r="D816" s="9">
        <v>5</v>
      </c>
      <c r="E816" s="48">
        <f t="shared" si="85"/>
        <v>55</v>
      </c>
      <c r="F816" s="100">
        <v>106</v>
      </c>
      <c r="G816" s="68">
        <f>H815*(1-AD816*C$5)</f>
        <v>134.63333333333333</v>
      </c>
      <c r="H816" s="69">
        <f>G816+E816</f>
        <v>189.63333333333333</v>
      </c>
      <c r="I816" s="70">
        <f>(H816/D$5)^E$5</f>
        <v>0.65116873667608721</v>
      </c>
      <c r="J816" s="70">
        <f>(G816/D$5)^E$5</f>
        <v>0.36002705832955134</v>
      </c>
      <c r="K816" s="29">
        <f>1-EXP(J816-I816)</f>
        <v>0.25259022126518538</v>
      </c>
      <c r="L816" s="51">
        <f>M815*(1-AE816*C$6)</f>
        <v>103.83333333333333</v>
      </c>
      <c r="M816" s="52">
        <f>L816+E816</f>
        <v>158.83333333333331</v>
      </c>
      <c r="N816" s="17">
        <f>(M816/D$6)^E$6</f>
        <v>0.41369751790718035</v>
      </c>
      <c r="O816" s="17">
        <f>(L816/D$6)^E$6</f>
        <v>0.1860483358583474</v>
      </c>
      <c r="P816" s="32">
        <f>1-EXP(O816-N816)</f>
        <v>0.203596396486313</v>
      </c>
      <c r="Q816" s="53">
        <f>R815*(1-AF816*C$7)</f>
        <v>103.83333333333333</v>
      </c>
      <c r="R816" s="54">
        <f>Q816+E816</f>
        <v>158.83333333333331</v>
      </c>
      <c r="S816" s="16">
        <f>(R816/D$7)^E$7</f>
        <v>1.2906890901009902</v>
      </c>
      <c r="T816" s="16">
        <f>(Q816/D$7)^E$7</f>
        <v>0.45944321669949417</v>
      </c>
      <c r="U816" s="35">
        <f>1-EXP(T816-S816)</f>
        <v>0.56449363760856475</v>
      </c>
      <c r="V816" s="55">
        <f>W815*(1-AG816*C$8)</f>
        <v>192.33333333333334</v>
      </c>
      <c r="W816" s="56">
        <f>V816+E816</f>
        <v>247.33333333333334</v>
      </c>
      <c r="X816" s="18">
        <f>(W816/D$8)^E$8</f>
        <v>0.22121871391987213</v>
      </c>
      <c r="Y816" s="18">
        <f>(V816/D$8)^E$8</f>
        <v>0.11707786390726455</v>
      </c>
      <c r="Z816" s="38">
        <f>1-EXP(Y816-X816)</f>
        <v>9.8901631234138088E-2</v>
      </c>
      <c r="AA816" s="41">
        <f>K816*P816*U816*Z816</f>
        <v>2.8711053367159642E-3</v>
      </c>
      <c r="AB816" s="42">
        <f>1-AA816</f>
        <v>0.99712889466328403</v>
      </c>
      <c r="AC816" s="47">
        <f>(AF816*F$7)+E816+AC815</f>
        <v>263.33333333333337</v>
      </c>
      <c r="AD816" s="80">
        <v>1</v>
      </c>
      <c r="AE816" s="45">
        <v>1</v>
      </c>
      <c r="AF816" s="81">
        <v>1</v>
      </c>
      <c r="AG816" s="45">
        <v>0</v>
      </c>
      <c r="AH816" s="94">
        <v>110</v>
      </c>
    </row>
    <row r="817" spans="1:33" ht="18.75" x14ac:dyDescent="0.3">
      <c r="A817" s="132" t="s">
        <v>53</v>
      </c>
      <c r="B817" s="132"/>
      <c r="C817" s="132"/>
      <c r="D817" s="132"/>
      <c r="E817" s="132"/>
      <c r="F817" s="132"/>
      <c r="G817" s="132"/>
      <c r="H817" s="132"/>
      <c r="I817" s="132"/>
      <c r="J817" s="132"/>
      <c r="AG817" s="46"/>
    </row>
    <row r="818" spans="1:33" ht="15.75" x14ac:dyDescent="0.25">
      <c r="A818" s="19" t="s">
        <v>82</v>
      </c>
      <c r="B818" s="60" t="s">
        <v>49</v>
      </c>
      <c r="C818" s="61" t="s">
        <v>50</v>
      </c>
      <c r="D818" s="19" t="s">
        <v>48</v>
      </c>
      <c r="E818" s="60" t="s">
        <v>57</v>
      </c>
      <c r="F818" s="61" t="s">
        <v>50</v>
      </c>
      <c r="G818" s="19" t="s">
        <v>54</v>
      </c>
      <c r="H818" s="60" t="s">
        <v>61</v>
      </c>
      <c r="I818" s="61" t="s">
        <v>50</v>
      </c>
      <c r="J818" s="19" t="s">
        <v>58</v>
      </c>
      <c r="K818" s="83" t="s">
        <v>84</v>
      </c>
      <c r="L818" s="61" t="s">
        <v>50</v>
      </c>
      <c r="M818" s="61" t="s">
        <v>85</v>
      </c>
      <c r="O818" s="174" t="s">
        <v>64</v>
      </c>
      <c r="P818" s="174"/>
      <c r="Q818" s="175" t="s">
        <v>109</v>
      </c>
      <c r="R818" s="175"/>
    </row>
    <row r="819" spans="1:33" ht="24.75" x14ac:dyDescent="0.25">
      <c r="A819" s="61" t="s">
        <v>51</v>
      </c>
      <c r="B819" s="1">
        <f>AA813</f>
        <v>1.3060317021926209E-5</v>
      </c>
      <c r="C819" s="59">
        <f>MAX(AC813+1*L806-F813,0)</f>
        <v>0</v>
      </c>
      <c r="D819" s="62" t="s">
        <v>55</v>
      </c>
      <c r="E819" s="1">
        <f>AA813*AA814</f>
        <v>2.3034833916578068E-8</v>
      </c>
      <c r="F819" s="1">
        <f>MAX(AC814+2*L806-F814,0)</f>
        <v>94.666666666666686</v>
      </c>
      <c r="G819" s="62" t="s">
        <v>59</v>
      </c>
      <c r="H819" s="1">
        <f>AA813*AA814*AA815</f>
        <v>2.2720154387865983E-11</v>
      </c>
      <c r="I819" s="1">
        <f>AC815+3*L806-F815</f>
        <v>141.33333333333334</v>
      </c>
      <c r="J819" s="62" t="s">
        <v>83</v>
      </c>
      <c r="K819" s="1">
        <f>AA813*AA814*AA815*AA816</f>
        <v>6.5231956514012657E-14</v>
      </c>
      <c r="L819" s="1">
        <f>AC816+4*L806-F816</f>
        <v>205.33333333333337</v>
      </c>
      <c r="M819" s="1">
        <f>B819*C819*AH813+E819*F819*AH814+H819*I819*AH815+K819*L819*AH816</f>
        <v>8.7441855851850265E-5</v>
      </c>
      <c r="O819" s="1" t="s">
        <v>27</v>
      </c>
      <c r="P819" s="1">
        <f>H804</f>
        <v>1820</v>
      </c>
      <c r="Q819" s="1">
        <f>(K813*(1-P813)*(1-U813)*(1-Z813))+(P813*(1-K813)*(1-U813)*(1-Z813))+(U813*(1-K813)*(1-P813)*(1-Z813))+(Z813*(1-K813)*(1-P813)*(1-U813))</f>
        <v>0.28083409477630866</v>
      </c>
      <c r="R819" s="1">
        <f>Q819*(L$7*(J$5*K$5+L$5)+I$5)</f>
        <v>9897.9976703909997</v>
      </c>
    </row>
    <row r="820" spans="1:33" ht="24.75" x14ac:dyDescent="0.25">
      <c r="A820" s="62" t="s">
        <v>52</v>
      </c>
      <c r="B820" s="1">
        <f>AB813</f>
        <v>0.99998693968297803</v>
      </c>
      <c r="C820" s="59">
        <f>MAX(AC813-F813,0)</f>
        <v>0</v>
      </c>
      <c r="D820" s="62" t="s">
        <v>56</v>
      </c>
      <c r="E820" s="1">
        <f>AA813*AB814+AA814*AB813</f>
        <v>1.7767412593329157E-3</v>
      </c>
      <c r="F820" s="1">
        <f>MAX(AC814+1*L806-F814,0)</f>
        <v>82.666666666666686</v>
      </c>
      <c r="G820" s="62" t="s">
        <v>60</v>
      </c>
      <c r="H820" s="1">
        <f>AA813*AA814*AB815+AA814*AA815*AB813+AA813*AA815*AB814</f>
        <v>1.7754812596448842E-6</v>
      </c>
      <c r="I820" s="1">
        <f>AC815+2*L806-F815</f>
        <v>129.33333333333334</v>
      </c>
      <c r="J820" s="62" t="s">
        <v>59</v>
      </c>
      <c r="K820">
        <f>AB813*AA814*AA815*AA816+AB814*AA813*AA815*AA816*+AB815*AA813*AA814*AA816+AB816*AA813*AA814*AA815</f>
        <v>5.0172583807164587E-9</v>
      </c>
      <c r="L820" s="1">
        <f>AC816+3*L806-F816</f>
        <v>193.33333333333337</v>
      </c>
      <c r="M820" s="1">
        <f>B820*C820*AH813+E820*F820*AH814+H820*I820*AH815+K820*L820*AH816</f>
        <v>5.8905829348309817</v>
      </c>
      <c r="O820" s="1" t="s">
        <v>28</v>
      </c>
      <c r="P820" s="1">
        <f>2*H805</f>
        <v>5440</v>
      </c>
      <c r="Q820" s="1">
        <f t="shared" ref="Q820:Q822" si="86">(K814*(1-P814)*(1-U814)*(1-Z814))+(P814*(1-K814)*(1-U814)*(1-Z814))+(U814*(1-K814)*(1-P814)*(1-Z814))+(Z814*(1-K814)*(1-P814)*(1-U814))</f>
        <v>0.47398342923204934</v>
      </c>
      <c r="R820" s="1">
        <f t="shared" ref="R820:R822" si="87">Q820*(L$7*(J$5*K$5+L$5)+I$5)</f>
        <v>16705.545963283577</v>
      </c>
    </row>
    <row r="821" spans="1:33" ht="24.75" x14ac:dyDescent="0.25">
      <c r="A821" s="1"/>
      <c r="B821" s="1"/>
      <c r="C821" s="1"/>
      <c r="D821" s="62" t="s">
        <v>52</v>
      </c>
      <c r="E821" s="1">
        <f>AB813*AB814</f>
        <v>0.99822323570583316</v>
      </c>
      <c r="F821" s="59">
        <f>MAX(AC814-F814,0)</f>
        <v>70.666666666666686</v>
      </c>
      <c r="G821" s="62" t="s">
        <v>56</v>
      </c>
      <c r="H821" s="1">
        <f>AA813*AB814*AB815+AA814*AB813*AB815*+AA815*AB813*AB814</f>
        <v>1.4759229301563941E-5</v>
      </c>
      <c r="I821" s="1">
        <f>AC815+1*L806-F815</f>
        <v>117.33333333333334</v>
      </c>
      <c r="J821" s="62" t="s">
        <v>60</v>
      </c>
      <c r="K821" s="1">
        <f>AA813*AA814*AB815*AB816 + AA813*AA815*AB814*AB816 + AA813*AA816*AB814*AB815 + AA814*AA815*AB813*AB816 + AA814*AA816*AB813*AB815 + AA815*AA816*AB813*AB814</f>
        <v>9.6934149494190976E-6</v>
      </c>
      <c r="L821" s="1">
        <f>AC816+2*L806-F816</f>
        <v>181.33333333333337</v>
      </c>
      <c r="M821" s="1">
        <f>B821*C821*AH813+E821*F821*AH814+H821*I821*AH815+K821*L821*AH816</f>
        <v>2821.9537247999633</v>
      </c>
      <c r="O821" s="1" t="s">
        <v>29</v>
      </c>
      <c r="P821" s="1">
        <f>2*(F806*(J804*K804+L804)+H806)</f>
        <v>28200</v>
      </c>
      <c r="Q821" s="1">
        <f t="shared" si="86"/>
        <v>0.46603224273418509</v>
      </c>
      <c r="R821" s="1">
        <f t="shared" si="87"/>
        <v>16425.306395166353</v>
      </c>
    </row>
    <row r="822" spans="1:33" ht="24.75" x14ac:dyDescent="0.25">
      <c r="A822" s="1"/>
      <c r="B822" s="1"/>
      <c r="C822" s="1"/>
      <c r="D822" s="1"/>
      <c r="E822" s="1"/>
      <c r="F822" s="1"/>
      <c r="G822" s="62" t="s">
        <v>52</v>
      </c>
      <c r="H822" s="1">
        <f>AB813*AB814*AB815</f>
        <v>0.99723864922646344</v>
      </c>
      <c r="I822" s="63">
        <f>AC815-F815</f>
        <v>105.33333333333334</v>
      </c>
      <c r="J822" s="62" t="s">
        <v>56</v>
      </c>
      <c r="K822" s="1">
        <f>AA813*AB814*AB815*AB816+AA814*AB813*AB815*AB816+AA815*AB813*AB814*AB816+AA816*AB813*AB814*AB815</f>
        <v>5.6148294460468574E-3</v>
      </c>
      <c r="L822" s="1">
        <f>AC816+1*L806-F816</f>
        <v>169.33333333333337</v>
      </c>
      <c r="M822" s="1">
        <f>B822*C822*AH813+E822*F822*AH814+H822*I822*AH815+K822*L822*AH816</f>
        <v>7142.4311169559287</v>
      </c>
      <c r="O822" s="1" t="s">
        <v>30</v>
      </c>
      <c r="P822" s="1">
        <v>0</v>
      </c>
      <c r="Q822" s="1">
        <f t="shared" si="86"/>
        <v>0.46707578053886467</v>
      </c>
      <c r="R822" s="1">
        <f t="shared" si="87"/>
        <v>16462.085885092285</v>
      </c>
    </row>
    <row r="823" spans="1:33" ht="30" x14ac:dyDescent="0.25">
      <c r="I823" s="84"/>
      <c r="J823" s="62" t="s">
        <v>52</v>
      </c>
      <c r="K823" s="85">
        <f>AB813*AB814*AB815*AB816</f>
        <v>0.99437547201868992</v>
      </c>
      <c r="L823" s="1">
        <f>AC816+0*L806-F816</f>
        <v>157.33333333333337</v>
      </c>
      <c r="M823" s="1">
        <f>B823*C823*AH813+E823*F823*AH814+H823*I823*AH815+K823*L823*AH816</f>
        <v>17209.324835736799</v>
      </c>
      <c r="O823" s="64" t="s">
        <v>65</v>
      </c>
      <c r="P823" s="65">
        <f>SUM(P819:P822)</f>
        <v>35460</v>
      </c>
      <c r="Q823" s="96" t="s">
        <v>108</v>
      </c>
      <c r="R823" s="97">
        <f>SUM(R819:R822)</f>
        <v>59490.935913933208</v>
      </c>
    </row>
    <row r="824" spans="1:33" x14ac:dyDescent="0.25">
      <c r="L824" s="176" t="s">
        <v>63</v>
      </c>
      <c r="M824" s="177">
        <f>SUM(M819:M823)</f>
        <v>27179.600347869378</v>
      </c>
    </row>
    <row r="825" spans="1:33" x14ac:dyDescent="0.25">
      <c r="L825" s="176"/>
      <c r="M825" s="177"/>
    </row>
    <row r="826" spans="1:33" x14ac:dyDescent="0.25">
      <c r="A826" s="178" t="s">
        <v>90</v>
      </c>
      <c r="B826" s="178"/>
      <c r="C826" s="178"/>
      <c r="D826" s="178"/>
      <c r="E826" s="178"/>
      <c r="F826" s="178"/>
      <c r="G826" s="178"/>
      <c r="H826" s="178"/>
      <c r="I826" s="178"/>
      <c r="J826" s="178"/>
      <c r="K826" s="178"/>
      <c r="L826" s="178"/>
      <c r="M826" s="178"/>
      <c r="N826" s="178"/>
    </row>
    <row r="827" spans="1:33" ht="15.75" x14ac:dyDescent="0.25">
      <c r="A827" s="87" t="s">
        <v>86</v>
      </c>
      <c r="B827" s="62" t="s">
        <v>49</v>
      </c>
      <c r="C827" s="90" t="s">
        <v>103</v>
      </c>
      <c r="D827" s="62" t="s">
        <v>88</v>
      </c>
      <c r="E827" s="87" t="s">
        <v>75</v>
      </c>
      <c r="F827" s="62" t="s">
        <v>57</v>
      </c>
      <c r="G827" s="90" t="s">
        <v>87</v>
      </c>
      <c r="H827" s="62" t="s">
        <v>88</v>
      </c>
      <c r="I827" s="87" t="s">
        <v>76</v>
      </c>
      <c r="J827" s="62" t="s">
        <v>61</v>
      </c>
      <c r="K827" s="90" t="s">
        <v>102</v>
      </c>
      <c r="L827" s="62" t="s">
        <v>88</v>
      </c>
      <c r="M827" s="87" t="s">
        <v>77</v>
      </c>
      <c r="N827" s="62" t="s">
        <v>84</v>
      </c>
      <c r="O827" s="90" t="s">
        <v>78</v>
      </c>
      <c r="P827" s="62" t="s">
        <v>88</v>
      </c>
    </row>
    <row r="828" spans="1:33" ht="24.75" x14ac:dyDescent="0.25">
      <c r="A828" s="62" t="s">
        <v>51</v>
      </c>
      <c r="B828" s="86">
        <v>1.3060317021926209E-5</v>
      </c>
      <c r="C828" s="86">
        <f>AC813+1*L806</f>
        <v>81.666666666666671</v>
      </c>
      <c r="D828" s="86">
        <f>MAX(B828*1.5*((C828-F813)*500/2),0)</f>
        <v>0</v>
      </c>
      <c r="E828" s="62" t="s">
        <v>55</v>
      </c>
      <c r="F828" s="86">
        <v>2.3034833916578068E-8</v>
      </c>
      <c r="G828" s="86">
        <f>AC814+2*L806</f>
        <v>170.66666666666669</v>
      </c>
      <c r="H828" s="86">
        <f>F828*1.5*((G828-F814)*500/2+(G828-F815)*500+(G828-F816)*500)</f>
        <v>3.2421528737583642E-3</v>
      </c>
      <c r="I828" s="62" t="s">
        <v>59</v>
      </c>
      <c r="J828" s="86">
        <v>2.2720154387865983E-11</v>
      </c>
      <c r="K828" s="86">
        <f>AC815+3*L806</f>
        <v>236.33333333333334</v>
      </c>
      <c r="L828" s="86">
        <f>J828*1.5*((K828-G828)*500/2+(K828-G828)*500)</f>
        <v>1.6784514054035992E-6</v>
      </c>
      <c r="M828" s="62" t="s">
        <v>83</v>
      </c>
      <c r="N828" s="86">
        <v>6.5231956514012657E-14</v>
      </c>
      <c r="O828" s="86">
        <f>AC816+4*L806</f>
        <v>311.33333333333337</v>
      </c>
      <c r="P828" s="86">
        <f>N828*1.5*((O828-K828)*500/2)</f>
        <v>1.8346487769566065E-9</v>
      </c>
    </row>
    <row r="829" spans="1:33" ht="24.75" x14ac:dyDescent="0.25">
      <c r="A829" s="62" t="s">
        <v>52</v>
      </c>
      <c r="B829" s="86">
        <v>0.99998693968297803</v>
      </c>
      <c r="C829" s="88">
        <f>AC813</f>
        <v>69.666666666666671</v>
      </c>
      <c r="D829" s="86">
        <f>MAX(B829*1.5*((C829-F813)*500/2),0)</f>
        <v>0</v>
      </c>
      <c r="E829" s="62" t="s">
        <v>56</v>
      </c>
      <c r="F829" s="86">
        <v>1.7767412593329157E-3</v>
      </c>
      <c r="G829" s="86">
        <f>AC814+1*L806</f>
        <v>158.66666666666669</v>
      </c>
      <c r="H829" s="86">
        <f>F829*1.5*((G829-F814)*500/2+(G829-F815)*500+(G829-F816)*500)</f>
        <v>210.09965391611735</v>
      </c>
      <c r="I829" s="62" t="s">
        <v>60</v>
      </c>
      <c r="J829" s="86">
        <v>1.7754812596448842E-6</v>
      </c>
      <c r="K829" s="86">
        <f>AC815+2*L806</f>
        <v>224.33333333333334</v>
      </c>
      <c r="L829" s="86">
        <f>J829*1.5*((K829-G829)*500/2+(K829-G829)*500)</f>
        <v>0.1311636780562658</v>
      </c>
      <c r="M829" s="62" t="s">
        <v>59</v>
      </c>
      <c r="N829" s="86">
        <v>5.0172583807164587E-9</v>
      </c>
      <c r="O829" s="86">
        <f>AC816+3*L806</f>
        <v>299.33333333333337</v>
      </c>
      <c r="P829" s="86">
        <f>N829*1.5*((O829-K829)*500/2)</f>
        <v>1.4111039195765045E-4</v>
      </c>
    </row>
    <row r="830" spans="1:33" x14ac:dyDescent="0.25">
      <c r="A830" s="86"/>
      <c r="B830" s="86"/>
      <c r="C830" s="89" t="s">
        <v>89</v>
      </c>
      <c r="D830" s="89">
        <f>SUM(D828:D829)</f>
        <v>0</v>
      </c>
      <c r="E830" s="62" t="s">
        <v>52</v>
      </c>
      <c r="F830" s="86">
        <v>0.99822323570583316</v>
      </c>
      <c r="G830" s="86">
        <f>AC814+0*L806</f>
        <v>146.66666666666669</v>
      </c>
      <c r="H830" s="86">
        <f>F830*1.5*((G830-F814)*500/2+(G830-F815)*500+(G830-F816)*500)</f>
        <v>95579.874818833574</v>
      </c>
      <c r="I830" s="62" t="s">
        <v>56</v>
      </c>
      <c r="J830" s="86">
        <v>1.4759229301563941E-5</v>
      </c>
      <c r="K830" s="86">
        <f>AC815+1*L806</f>
        <v>212.33333333333334</v>
      </c>
      <c r="L830" s="86">
        <f>J830*1.5*((K830-G830)*500/2+(K830-G830)*500)</f>
        <v>1.0903380646530361</v>
      </c>
      <c r="M830" s="62" t="s">
        <v>60</v>
      </c>
      <c r="N830" s="86">
        <v>9.6934149494190976E-6</v>
      </c>
      <c r="O830" s="86">
        <f>AC816+2*L806</f>
        <v>287.33333333333337</v>
      </c>
      <c r="P830" s="86">
        <f>N830*1.5*((O830-K830)*500/2)</f>
        <v>0.27262729545241221</v>
      </c>
    </row>
    <row r="831" spans="1:33" x14ac:dyDescent="0.25">
      <c r="A831" s="86"/>
      <c r="B831" s="86"/>
      <c r="C831" s="86"/>
      <c r="D831" s="86"/>
      <c r="E831" s="86"/>
      <c r="F831" s="86"/>
      <c r="G831" s="89" t="s">
        <v>79</v>
      </c>
      <c r="H831" s="89">
        <f>SUM(H828:H830)</f>
        <v>95789.977714902561</v>
      </c>
      <c r="I831" s="62" t="s">
        <v>52</v>
      </c>
      <c r="J831" s="86">
        <v>0.99723864922646344</v>
      </c>
      <c r="K831" s="86">
        <f>AC815+0*L806</f>
        <v>200.33333333333334</v>
      </c>
      <c r="L831" s="86">
        <f>J831*1.5*((K831-G830)*500/2+(K831-G830)*500)</f>
        <v>60208.283447047717</v>
      </c>
      <c r="M831" s="62" t="s">
        <v>56</v>
      </c>
      <c r="N831" s="86">
        <v>5.6148294460468574E-3</v>
      </c>
      <c r="O831" s="86">
        <f>AC816+1*L806</f>
        <v>275.33333333333337</v>
      </c>
      <c r="P831" s="86">
        <f>N831*1.5*((O831-K831)*500/2)</f>
        <v>157.91707817006792</v>
      </c>
    </row>
    <row r="832" spans="1:33" x14ac:dyDescent="0.25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9" t="s">
        <v>79</v>
      </c>
      <c r="L832" s="89">
        <f>SUM(L828:L831)</f>
        <v>60209.50495046888</v>
      </c>
      <c r="M832" s="62" t="s">
        <v>52</v>
      </c>
      <c r="N832" s="86">
        <v>0.99437547201868992</v>
      </c>
      <c r="O832" s="86">
        <f>AC816+0*L806</f>
        <v>263.33333333333337</v>
      </c>
      <c r="P832" s="86">
        <f>N832*1.5*((O832-K831)*500/2)</f>
        <v>23492.120526441562</v>
      </c>
      <c r="Q832" s="179" t="s">
        <v>80</v>
      </c>
      <c r="R832" s="179"/>
      <c r="S832" s="180">
        <f>D830+H831+L832+P833</f>
        <v>179649.79303839075</v>
      </c>
      <c r="T832" s="180"/>
    </row>
    <row r="833" spans="1:22" x14ac:dyDescent="0.25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9" t="s">
        <v>79</v>
      </c>
      <c r="P833" s="89">
        <f>SUM(P828:P832)</f>
        <v>23650.310373019311</v>
      </c>
      <c r="Q833" s="179"/>
      <c r="R833" s="179"/>
      <c r="S833" s="180"/>
      <c r="T833" s="180"/>
    </row>
    <row r="834" spans="1:22" x14ac:dyDescent="0.25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</row>
    <row r="835" spans="1:22" x14ac:dyDescent="0.25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</row>
    <row r="836" spans="1:22" x14ac:dyDescent="0.25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</row>
    <row r="837" spans="1:22" ht="24.75" thickBot="1" x14ac:dyDescent="0.3">
      <c r="O837" s="131" t="s">
        <v>81</v>
      </c>
      <c r="P837" s="131"/>
      <c r="Q837" s="131">
        <f>(R823+P823+M824+S832)/AC816</f>
        <v>1146.0012505070631</v>
      </c>
      <c r="R837" s="131"/>
    </row>
    <row r="838" spans="1:22" x14ac:dyDescent="0.25">
      <c r="A838" s="181" t="s">
        <v>127</v>
      </c>
      <c r="B838" s="182"/>
    </row>
    <row r="839" spans="1:22" ht="15.75" thickBot="1" x14ac:dyDescent="0.3">
      <c r="A839" s="183"/>
      <c r="B839" s="184"/>
    </row>
    <row r="840" spans="1:22" ht="21" x14ac:dyDescent="0.35">
      <c r="A840" s="185" t="s">
        <v>14</v>
      </c>
      <c r="B840" s="185"/>
      <c r="C840" s="165"/>
      <c r="D840" s="165"/>
      <c r="E840" s="165"/>
      <c r="F840" s="165"/>
      <c r="G840" s="165"/>
      <c r="H840" s="165"/>
      <c r="I840" s="165"/>
      <c r="J840" s="165"/>
      <c r="K840" s="165"/>
      <c r="L840" s="165"/>
      <c r="M840" s="165"/>
      <c r="O840" s="166" t="s">
        <v>72</v>
      </c>
      <c r="P840" s="166"/>
      <c r="Q840" s="166"/>
      <c r="R840" s="166"/>
      <c r="S840" s="166"/>
      <c r="T840" s="166"/>
      <c r="U840" s="166"/>
      <c r="V840" s="166"/>
    </row>
    <row r="841" spans="1:22" ht="36" x14ac:dyDescent="0.25">
      <c r="A841" s="4" t="s">
        <v>15</v>
      </c>
      <c r="B841" s="4" t="s">
        <v>16</v>
      </c>
      <c r="C841" s="4" t="s">
        <v>31</v>
      </c>
      <c r="D841" s="6" t="s">
        <v>17</v>
      </c>
      <c r="E841" s="6" t="s">
        <v>18</v>
      </c>
      <c r="F841" s="6" t="s">
        <v>19</v>
      </c>
      <c r="G841" s="6" t="s">
        <v>20</v>
      </c>
      <c r="H841" s="6" t="s">
        <v>21</v>
      </c>
      <c r="I841" s="6" t="s">
        <v>22</v>
      </c>
      <c r="J841" s="6" t="s">
        <v>23</v>
      </c>
      <c r="K841" s="6" t="s">
        <v>24</v>
      </c>
      <c r="L841" s="6" t="s">
        <v>25</v>
      </c>
      <c r="M841" s="6" t="s">
        <v>26</v>
      </c>
      <c r="N841" s="8"/>
      <c r="O841" s="167" t="s">
        <v>32</v>
      </c>
      <c r="P841" s="167" t="s">
        <v>35</v>
      </c>
      <c r="Q841" s="167" t="s">
        <v>66</v>
      </c>
      <c r="R841" s="99" t="s">
        <v>67</v>
      </c>
      <c r="S841" s="99" t="s">
        <v>68</v>
      </c>
      <c r="T841" s="167" t="s">
        <v>69</v>
      </c>
      <c r="U841" s="71" t="s">
        <v>33</v>
      </c>
      <c r="V841" s="99" t="s">
        <v>70</v>
      </c>
    </row>
    <row r="842" spans="1:22" x14ac:dyDescent="0.25">
      <c r="A842" s="3" t="s">
        <v>27</v>
      </c>
      <c r="B842" s="3">
        <v>0</v>
      </c>
      <c r="C842" s="3">
        <v>0.3</v>
      </c>
      <c r="D842" s="3">
        <v>243</v>
      </c>
      <c r="E842" s="3">
        <v>1.73</v>
      </c>
      <c r="F842" s="3">
        <v>5</v>
      </c>
      <c r="G842" s="169">
        <v>12</v>
      </c>
      <c r="H842" s="3">
        <v>1820</v>
      </c>
      <c r="I842" s="169">
        <v>19645</v>
      </c>
      <c r="J842" s="3">
        <v>20</v>
      </c>
      <c r="K842" s="3">
        <v>40</v>
      </c>
      <c r="L842" s="3">
        <v>500</v>
      </c>
      <c r="M842" s="3">
        <v>1000</v>
      </c>
      <c r="O842" s="168"/>
      <c r="P842" s="168"/>
      <c r="Q842" s="168"/>
      <c r="R842" s="72" t="s">
        <v>71</v>
      </c>
      <c r="S842" s="72" t="s">
        <v>71</v>
      </c>
      <c r="T842" s="168"/>
      <c r="U842" s="73">
        <v>500</v>
      </c>
      <c r="V842" s="3">
        <v>1.5</v>
      </c>
    </row>
    <row r="843" spans="1:22" x14ac:dyDescent="0.25">
      <c r="A843" s="3" t="s">
        <v>28</v>
      </c>
      <c r="B843" s="3">
        <v>0</v>
      </c>
      <c r="C843" s="3">
        <v>0.3</v>
      </c>
      <c r="D843" s="3">
        <v>254</v>
      </c>
      <c r="E843" s="3">
        <v>1.88</v>
      </c>
      <c r="F843" s="3">
        <v>3</v>
      </c>
      <c r="G843" s="170"/>
      <c r="H843" s="3">
        <v>2720</v>
      </c>
      <c r="I843" s="170"/>
      <c r="J843" s="5"/>
      <c r="K843" s="5"/>
      <c r="L843" s="5"/>
      <c r="M843" s="5"/>
      <c r="O843" s="74">
        <v>1</v>
      </c>
      <c r="P843" s="74">
        <v>106</v>
      </c>
      <c r="Q843" s="74">
        <v>110</v>
      </c>
      <c r="R843" s="74">
        <v>6</v>
      </c>
      <c r="S843" s="74">
        <v>5</v>
      </c>
      <c r="T843" s="74">
        <f>R843*$U$5/60+S843</f>
        <v>55</v>
      </c>
      <c r="U843" s="75"/>
    </row>
    <row r="844" spans="1:22" x14ac:dyDescent="0.25">
      <c r="A844" s="3" t="s">
        <v>29</v>
      </c>
      <c r="B844" s="3">
        <v>0</v>
      </c>
      <c r="C844" s="3">
        <v>0.3</v>
      </c>
      <c r="D844" s="3">
        <v>143</v>
      </c>
      <c r="E844" s="3">
        <v>2.4300000000000002</v>
      </c>
      <c r="F844" s="3">
        <v>8</v>
      </c>
      <c r="G844" s="170"/>
      <c r="H844" s="3">
        <v>3700</v>
      </c>
      <c r="I844" s="170"/>
      <c r="J844" s="5"/>
      <c r="K844" s="140" t="s">
        <v>73</v>
      </c>
      <c r="L844" s="141">
        <v>12</v>
      </c>
      <c r="M844" s="140" t="s">
        <v>74</v>
      </c>
      <c r="N844" s="141">
        <v>19645</v>
      </c>
      <c r="O844" s="74">
        <v>2</v>
      </c>
      <c r="P844" s="74">
        <v>76</v>
      </c>
      <c r="Q844" s="74">
        <v>40</v>
      </c>
      <c r="R844" s="74">
        <v>9</v>
      </c>
      <c r="S844" s="74">
        <v>2</v>
      </c>
      <c r="T844" s="74">
        <f t="shared" ref="T844:T846" si="88">R844*$U$5/60+S844</f>
        <v>77</v>
      </c>
      <c r="U844" s="75"/>
    </row>
    <row r="845" spans="1:22" x14ac:dyDescent="0.25">
      <c r="A845" s="3" t="s">
        <v>30</v>
      </c>
      <c r="B845" s="3">
        <v>0</v>
      </c>
      <c r="C845" s="3">
        <v>0.3</v>
      </c>
      <c r="D845" s="3">
        <v>449</v>
      </c>
      <c r="E845" s="3">
        <v>2.5299999999999998</v>
      </c>
      <c r="F845" s="3">
        <v>4</v>
      </c>
      <c r="G845" s="171"/>
      <c r="H845" s="3">
        <v>4320</v>
      </c>
      <c r="I845" s="171"/>
      <c r="J845" s="5"/>
      <c r="K845" s="140"/>
      <c r="L845" s="141"/>
      <c r="M845" s="140"/>
      <c r="N845" s="141"/>
      <c r="O845" s="74">
        <v>3</v>
      </c>
      <c r="P845" s="74">
        <v>95</v>
      </c>
      <c r="Q845" s="74">
        <v>67</v>
      </c>
      <c r="R845" s="74">
        <v>5</v>
      </c>
      <c r="S845" s="74">
        <v>4</v>
      </c>
      <c r="T845" s="74">
        <f t="shared" si="88"/>
        <v>45.666666666666664</v>
      </c>
      <c r="U845" s="75"/>
    </row>
    <row r="846" spans="1:22" ht="15.75" thickBo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O846" s="74">
        <v>4</v>
      </c>
      <c r="P846" s="74">
        <v>140</v>
      </c>
      <c r="Q846" s="94">
        <v>85</v>
      </c>
      <c r="R846" s="94">
        <v>8</v>
      </c>
      <c r="S846" s="94">
        <v>3</v>
      </c>
      <c r="T846" s="74">
        <f t="shared" si="88"/>
        <v>69.666666666666671</v>
      </c>
    </row>
    <row r="847" spans="1:22" ht="15" customHeight="1" x14ac:dyDescent="0.25">
      <c r="A847" s="142" t="s">
        <v>101</v>
      </c>
      <c r="B847" s="144" t="s">
        <v>107</v>
      </c>
      <c r="C847" s="144"/>
      <c r="D847" s="144"/>
      <c r="E847" s="144"/>
      <c r="F847" s="20" t="s">
        <v>27</v>
      </c>
      <c r="G847" s="20" t="s">
        <v>28</v>
      </c>
      <c r="H847" s="20" t="s">
        <v>29</v>
      </c>
      <c r="I847" s="20" t="s">
        <v>30</v>
      </c>
    </row>
    <row r="848" spans="1:22" ht="15.75" customHeight="1" thickBot="1" x14ac:dyDescent="0.3">
      <c r="A848" s="143"/>
      <c r="B848" s="145"/>
      <c r="C848" s="145"/>
      <c r="D848" s="145"/>
      <c r="E848" s="145"/>
      <c r="F848" s="20">
        <v>168</v>
      </c>
      <c r="G848" s="26">
        <v>84</v>
      </c>
      <c r="H848" s="26">
        <v>84</v>
      </c>
      <c r="I848" s="26">
        <v>252</v>
      </c>
    </row>
    <row r="849" spans="1:34" ht="15.75" customHeight="1" thickBot="1" x14ac:dyDescent="0.3">
      <c r="A849" s="143"/>
      <c r="B849" s="145"/>
      <c r="C849" s="145"/>
      <c r="D849" s="145"/>
      <c r="E849" s="145"/>
      <c r="F849" s="7"/>
      <c r="G849" s="146" t="s">
        <v>27</v>
      </c>
      <c r="H849" s="147"/>
      <c r="I849" s="147"/>
      <c r="J849" s="147"/>
      <c r="K849" s="148"/>
      <c r="L849" s="149" t="s">
        <v>28</v>
      </c>
      <c r="M849" s="150"/>
      <c r="N849" s="150"/>
      <c r="O849" s="150"/>
      <c r="P849" s="151"/>
      <c r="Q849" s="152" t="s">
        <v>29</v>
      </c>
      <c r="R849" s="153"/>
      <c r="S849" s="153"/>
      <c r="T849" s="153"/>
      <c r="U849" s="154"/>
      <c r="V849" s="155" t="s">
        <v>30</v>
      </c>
      <c r="W849" s="156"/>
      <c r="X849" s="156"/>
      <c r="Y849" s="156"/>
      <c r="Z849" s="157"/>
      <c r="AA849" s="158" t="s">
        <v>42</v>
      </c>
      <c r="AB849" s="159"/>
      <c r="AC849" s="160" t="s">
        <v>44</v>
      </c>
      <c r="AD849" s="162" t="s">
        <v>47</v>
      </c>
      <c r="AE849" s="163"/>
      <c r="AF849" s="163"/>
      <c r="AG849" s="164"/>
      <c r="AH849" s="138" t="s">
        <v>62</v>
      </c>
    </row>
    <row r="850" spans="1:34" ht="36.75" x14ac:dyDescent="0.25">
      <c r="A850" s="21" t="s">
        <v>32</v>
      </c>
      <c r="B850" s="22" t="s">
        <v>37</v>
      </c>
      <c r="C850" s="23" t="s">
        <v>33</v>
      </c>
      <c r="D850" s="22" t="s">
        <v>38</v>
      </c>
      <c r="E850" s="22" t="s">
        <v>34</v>
      </c>
      <c r="F850" s="25" t="s">
        <v>35</v>
      </c>
      <c r="G850" s="27" t="s">
        <v>39</v>
      </c>
      <c r="H850" s="10" t="s">
        <v>40</v>
      </c>
      <c r="I850" s="10" t="s">
        <v>45</v>
      </c>
      <c r="J850" s="10" t="s">
        <v>46</v>
      </c>
      <c r="K850" s="28" t="s">
        <v>41</v>
      </c>
      <c r="L850" s="30" t="s">
        <v>39</v>
      </c>
      <c r="M850" s="13" t="s">
        <v>40</v>
      </c>
      <c r="N850" s="13" t="s">
        <v>45</v>
      </c>
      <c r="O850" s="13" t="s">
        <v>46</v>
      </c>
      <c r="P850" s="31" t="s">
        <v>41</v>
      </c>
      <c r="Q850" s="33" t="s">
        <v>39</v>
      </c>
      <c r="R850" s="12" t="s">
        <v>40</v>
      </c>
      <c r="S850" s="12" t="s">
        <v>45</v>
      </c>
      <c r="T850" s="12" t="s">
        <v>46</v>
      </c>
      <c r="U850" s="34" t="s">
        <v>41</v>
      </c>
      <c r="V850" s="36" t="s">
        <v>39</v>
      </c>
      <c r="W850" s="11" t="s">
        <v>40</v>
      </c>
      <c r="X850" s="11" t="s">
        <v>45</v>
      </c>
      <c r="Y850" s="11" t="s">
        <v>46</v>
      </c>
      <c r="Z850" s="37" t="s">
        <v>41</v>
      </c>
      <c r="AA850" s="39" t="s">
        <v>41</v>
      </c>
      <c r="AB850" s="40" t="s">
        <v>43</v>
      </c>
      <c r="AC850" s="161"/>
      <c r="AD850" s="43" t="s">
        <v>27</v>
      </c>
      <c r="AE850" s="1" t="s">
        <v>28</v>
      </c>
      <c r="AF850" s="1" t="s">
        <v>29</v>
      </c>
      <c r="AG850" s="1" t="s">
        <v>30</v>
      </c>
      <c r="AH850" s="139"/>
    </row>
    <row r="851" spans="1:34" x14ac:dyDescent="0.25">
      <c r="A851" s="24">
        <v>4</v>
      </c>
      <c r="B851" s="9">
        <v>8</v>
      </c>
      <c r="C851" s="9">
        <v>500</v>
      </c>
      <c r="D851" s="9">
        <v>3</v>
      </c>
      <c r="E851" s="48">
        <f>B851*C851/60+D851</f>
        <v>69.666666666666671</v>
      </c>
      <c r="F851" s="100">
        <v>140</v>
      </c>
      <c r="G851" s="49">
        <f>B$5*(1-AD851*C$5)</f>
        <v>0</v>
      </c>
      <c r="H851" s="50">
        <f>G851+E851</f>
        <v>69.666666666666671</v>
      </c>
      <c r="I851" s="15">
        <f>(H851/D$5)^E$5</f>
        <v>0.11516869637804684</v>
      </c>
      <c r="J851" s="15">
        <f>(G851/D$5)^E$5</f>
        <v>0</v>
      </c>
      <c r="K851" s="29">
        <f>1-EXP(J851-I851)</f>
        <v>0.10878421365041502</v>
      </c>
      <c r="L851" s="51">
        <f>B$6*(1-AE851*C$6)</f>
        <v>0</v>
      </c>
      <c r="M851" s="52">
        <f>L851+E851</f>
        <v>69.666666666666671</v>
      </c>
      <c r="N851" s="17">
        <f>(M851/D$6)^E$6</f>
        <v>8.7861714115895329E-2</v>
      </c>
      <c r="O851" s="17">
        <f>(L851/D$6)^E$6</f>
        <v>0</v>
      </c>
      <c r="P851" s="32">
        <f>1-EXP(O851-N851)</f>
        <v>8.4112477717763534E-2</v>
      </c>
      <c r="Q851" s="53">
        <f>B$7*(1-AF851*C$7)</f>
        <v>0</v>
      </c>
      <c r="R851" s="54">
        <f>Q851+E851</f>
        <v>69.666666666666671</v>
      </c>
      <c r="S851" s="16">
        <f>(R851/D$7)^E$7</f>
        <v>0.17421448251746105</v>
      </c>
      <c r="T851" s="16">
        <f>(Q851/D$7)^E$7</f>
        <v>0</v>
      </c>
      <c r="U851" s="35">
        <f>1-EXP(T851-S851)</f>
        <v>0.15988331200899064</v>
      </c>
      <c r="V851" s="55">
        <f>B$8*(1-AG851*C$8)</f>
        <v>0</v>
      </c>
      <c r="W851" s="56">
        <f>V851+E851</f>
        <v>69.666666666666671</v>
      </c>
      <c r="X851" s="18">
        <f>(W851/D$8)^E$8</f>
        <v>8.9674731846197935E-3</v>
      </c>
      <c r="Y851" s="18">
        <f>(V851/D$8)^E$8</f>
        <v>0</v>
      </c>
      <c r="Z851" s="38">
        <f>1-EXP(Y851-X851)</f>
        <v>8.9273853154187011E-3</v>
      </c>
      <c r="AA851" s="41">
        <f>K851*P851*U851*Z851</f>
        <v>1.3060317021926209E-5</v>
      </c>
      <c r="AB851" s="42">
        <f>1-AA851</f>
        <v>0.99998693968297803</v>
      </c>
      <c r="AC851" s="47">
        <f>(AD851*F$5+AE851*F$6+AF851*F$7+AG851*F$8)+E851</f>
        <v>69.666666666666671</v>
      </c>
      <c r="AD851" s="43">
        <v>0</v>
      </c>
      <c r="AE851" s="1">
        <v>0</v>
      </c>
      <c r="AF851" s="1">
        <v>0</v>
      </c>
      <c r="AG851" s="1">
        <v>0</v>
      </c>
      <c r="AH851" s="74">
        <v>85</v>
      </c>
    </row>
    <row r="852" spans="1:34" x14ac:dyDescent="0.25">
      <c r="A852" s="76">
        <v>3</v>
      </c>
      <c r="B852" s="58">
        <v>5</v>
      </c>
      <c r="C852" s="9">
        <v>500</v>
      </c>
      <c r="D852" s="58">
        <v>4</v>
      </c>
      <c r="E852" s="48">
        <f t="shared" ref="E852:E854" si="89">B852*C852/60+D852</f>
        <v>45.666666666666664</v>
      </c>
      <c r="F852" s="100">
        <v>95</v>
      </c>
      <c r="G852" s="49">
        <f>H851*(1-AD852*C$5)</f>
        <v>69.666666666666671</v>
      </c>
      <c r="H852" s="50">
        <f>G852+E852</f>
        <v>115.33333333333334</v>
      </c>
      <c r="I852" s="15">
        <f>(H852/D$5)^E$5</f>
        <v>0.27547552976184858</v>
      </c>
      <c r="J852" s="15">
        <f>(G852/D$5)^E$5</f>
        <v>0.11516869637804684</v>
      </c>
      <c r="K852" s="29">
        <f>1-EXP(J852-I852)</f>
        <v>0.14811763708687153</v>
      </c>
      <c r="L852" s="51">
        <f>M851*(1-AE852*C$6)</f>
        <v>69.666666666666671</v>
      </c>
      <c r="M852" s="52">
        <f>L852+E852</f>
        <v>115.33333333333334</v>
      </c>
      <c r="N852" s="17">
        <f>(M852/D$6)^E$6</f>
        <v>0.22666669883015245</v>
      </c>
      <c r="O852" s="17">
        <f>(L852/D$6)^E$6</f>
        <v>8.7861714115895329E-2</v>
      </c>
      <c r="P852" s="32">
        <f>1-EXP(O852-N852)</f>
        <v>0.12960224722523705</v>
      </c>
      <c r="Q852" s="53">
        <f>R851*(1-AF852*C$7)</f>
        <v>69.666666666666671</v>
      </c>
      <c r="R852" s="54">
        <f>Q852+E852</f>
        <v>115.33333333333334</v>
      </c>
      <c r="S852" s="16">
        <f>(R852/D$7)^E$7</f>
        <v>0.59303960801780564</v>
      </c>
      <c r="T852" s="16">
        <f>(Q852/D$7)^E$7</f>
        <v>0.17421448251746105</v>
      </c>
      <c r="U852" s="35">
        <f>1-EXP(T852-S852)</f>
        <v>0.34218077898287225</v>
      </c>
      <c r="V852" s="55">
        <f>W851*(1-AG852*C$8)</f>
        <v>69.666666666666671</v>
      </c>
      <c r="W852" s="56">
        <f>V852+E852</f>
        <v>115.33333333333334</v>
      </c>
      <c r="X852" s="18">
        <f>(W852/D$8)^E$8</f>
        <v>3.2104248826077181E-2</v>
      </c>
      <c r="Y852" s="18">
        <f>(V852/D$8)^E$8</f>
        <v>8.9674731846197935E-3</v>
      </c>
      <c r="Z852" s="38">
        <f>1-EXP(Y852-X852)</f>
        <v>2.2871172789123873E-2</v>
      </c>
      <c r="AA852" s="41">
        <f>K852*P852*U852*Z852</f>
        <v>1.502323126547819E-4</v>
      </c>
      <c r="AB852" s="42">
        <f>1-AA852</f>
        <v>0.99984976768734524</v>
      </c>
      <c r="AC852" s="47">
        <f>AF852*F$7+E852+AC851</f>
        <v>115.33333333333334</v>
      </c>
      <c r="AD852" s="43">
        <v>0</v>
      </c>
      <c r="AE852" s="1">
        <v>0</v>
      </c>
      <c r="AF852" s="1">
        <v>0</v>
      </c>
      <c r="AG852" s="1">
        <v>0</v>
      </c>
      <c r="AH852" s="74">
        <v>67</v>
      </c>
    </row>
    <row r="853" spans="1:34" x14ac:dyDescent="0.25">
      <c r="A853" s="24">
        <v>1</v>
      </c>
      <c r="B853" s="9">
        <v>6</v>
      </c>
      <c r="C853" s="58">
        <v>500</v>
      </c>
      <c r="D853" s="58">
        <v>5</v>
      </c>
      <c r="E853" s="48">
        <f t="shared" si="89"/>
        <v>55</v>
      </c>
      <c r="F853" s="100">
        <v>106</v>
      </c>
      <c r="G853" s="68">
        <f>H852*(1-AD853*C$5)</f>
        <v>115.33333333333334</v>
      </c>
      <c r="H853" s="69">
        <f>G853+E853</f>
        <v>170.33333333333334</v>
      </c>
      <c r="I853" s="70">
        <f>(H853/D$5)^E$5</f>
        <v>0.54081600193052237</v>
      </c>
      <c r="J853" s="70">
        <f>(G853/D$5)^E$5</f>
        <v>0.27547552976184858</v>
      </c>
      <c r="K853" s="29">
        <f>1-EXP(J853-I853)</f>
        <v>0.23305521783504357</v>
      </c>
      <c r="L853" s="51">
        <f>M852*(1-AE853*C$6)</f>
        <v>80.733333333333334</v>
      </c>
      <c r="M853" s="52">
        <f>L853+E853</f>
        <v>135.73333333333335</v>
      </c>
      <c r="N853" s="17">
        <f>(M853/D$6)^E$6</f>
        <v>0.30786708540357188</v>
      </c>
      <c r="O853" s="17">
        <f>(L853/D$6)^E$6</f>
        <v>0.11592364675943075</v>
      </c>
      <c r="P853" s="32">
        <f>1-EXP(O853-N853)</f>
        <v>0.17464644971265575</v>
      </c>
      <c r="Q853" s="53">
        <f>R852*(1-AF853*C$7)</f>
        <v>80.733333333333334</v>
      </c>
      <c r="R853" s="54">
        <f>Q853+E853</f>
        <v>135.73333333333335</v>
      </c>
      <c r="S853" s="16">
        <f>(R853/D$7)^E$7</f>
        <v>0.88097109537085294</v>
      </c>
      <c r="T853" s="16">
        <f>(Q853/D$7)^E$7</f>
        <v>0.24927110408438607</v>
      </c>
      <c r="U853" s="35">
        <f>1-EXP(T853-S853)</f>
        <v>0.46831283126270695</v>
      </c>
      <c r="V853" s="55">
        <f>W852*(1-AG853*C$8)</f>
        <v>115.33333333333334</v>
      </c>
      <c r="W853" s="56">
        <f>V853+E853</f>
        <v>170.33333333333334</v>
      </c>
      <c r="X853" s="18">
        <f>(W853/D$8)^E$8</f>
        <v>8.6100338756432887E-2</v>
      </c>
      <c r="Y853" s="18">
        <f>(V853/D$8)^E$8</f>
        <v>3.2104248826077181E-2</v>
      </c>
      <c r="Z853" s="38">
        <f>1-EXP(Y853-X853)</f>
        <v>5.2564188965439573E-2</v>
      </c>
      <c r="AA853" s="41">
        <f>K853*P853*U853*Z853</f>
        <v>1.0019466955616561E-3</v>
      </c>
      <c r="AB853" s="42">
        <f>1-AA853</f>
        <v>0.99899805330443836</v>
      </c>
      <c r="AC853" s="47">
        <f>(AF853*F$7)+E853+AC852</f>
        <v>178.33333333333334</v>
      </c>
      <c r="AD853" s="77">
        <v>0</v>
      </c>
      <c r="AE853" s="78">
        <v>1</v>
      </c>
      <c r="AF853" s="78">
        <v>1</v>
      </c>
      <c r="AG853" s="78">
        <v>0</v>
      </c>
      <c r="AH853" s="74">
        <v>110</v>
      </c>
    </row>
    <row r="854" spans="1:34" ht="15.75" thickBot="1" x14ac:dyDescent="0.3">
      <c r="A854" s="57">
        <v>2</v>
      </c>
      <c r="B854" s="58">
        <v>9</v>
      </c>
      <c r="C854" s="58">
        <v>500</v>
      </c>
      <c r="D854" s="9">
        <v>2</v>
      </c>
      <c r="E854" s="48">
        <f t="shared" si="89"/>
        <v>77</v>
      </c>
      <c r="F854" s="100">
        <v>76</v>
      </c>
      <c r="G854" s="68">
        <f>H853*(1-AD854*C$5)</f>
        <v>119.23333333333333</v>
      </c>
      <c r="H854" s="69">
        <f>G854+E854</f>
        <v>196.23333333333335</v>
      </c>
      <c r="I854" s="70">
        <f>(H854/D$5)^E$5</f>
        <v>0.69087274166660284</v>
      </c>
      <c r="J854" s="70">
        <f>(G854/D$5)^E$5</f>
        <v>0.29178915240732939</v>
      </c>
      <c r="K854" s="29">
        <f>1-EXP(J854-I854)</f>
        <v>0.32906538391816376</v>
      </c>
      <c r="L854" s="51">
        <f>M853*(1-AE854*C$6)</f>
        <v>95.013333333333335</v>
      </c>
      <c r="M854" s="52">
        <f>L854+E854</f>
        <v>172.01333333333332</v>
      </c>
      <c r="N854" s="17">
        <f>(M854/D$6)^E$6</f>
        <v>0.4805840832144625</v>
      </c>
      <c r="O854" s="17">
        <f>(L854/D$6)^E$6</f>
        <v>0.15745178026315176</v>
      </c>
      <c r="P854" s="32">
        <f>1-EXP(O854-N854)</f>
        <v>0.27612192317372397</v>
      </c>
      <c r="Q854" s="53">
        <f>R853*(1-AF854*C$7)</f>
        <v>95.013333333333335</v>
      </c>
      <c r="R854" s="54">
        <f>Q854+E854</f>
        <v>172.01333333333332</v>
      </c>
      <c r="S854" s="16">
        <f>(R854/D$7)^E$7</f>
        <v>1.5665683956775553</v>
      </c>
      <c r="T854" s="16">
        <f>(Q854/D$7)^E$7</f>
        <v>0.37029674686236147</v>
      </c>
      <c r="U854" s="35">
        <f>1-EXP(T854-S854)</f>
        <v>0.69768073429638378</v>
      </c>
      <c r="V854" s="55">
        <f>W853*(1-AG854*C$8)</f>
        <v>170.33333333333334</v>
      </c>
      <c r="W854" s="56">
        <f>V854+E854</f>
        <v>247.33333333333334</v>
      </c>
      <c r="X854" s="18">
        <f>(W854/D$8)^E$8</f>
        <v>0.22121871391987213</v>
      </c>
      <c r="Y854" s="18">
        <f>(V854/D$8)^E$8</f>
        <v>8.6100338756432887E-2</v>
      </c>
      <c r="Z854" s="38">
        <f>1-EXP(Y854-X854)</f>
        <v>0.1263875084545022</v>
      </c>
      <c r="AA854" s="41">
        <f>K854*P854*U854*Z854</f>
        <v>8.0120559167400438E-3</v>
      </c>
      <c r="AB854" s="42">
        <f>1-AA854</f>
        <v>0.99198794408325996</v>
      </c>
      <c r="AC854" s="47">
        <f>(AF854*F$7)+E854+AC853</f>
        <v>263.33333333333337</v>
      </c>
      <c r="AD854" s="80">
        <v>1</v>
      </c>
      <c r="AE854" s="45">
        <v>1</v>
      </c>
      <c r="AF854" s="81">
        <v>1</v>
      </c>
      <c r="AG854" s="45">
        <v>0</v>
      </c>
      <c r="AH854" s="94">
        <v>40</v>
      </c>
    </row>
    <row r="855" spans="1:34" ht="18.75" x14ac:dyDescent="0.3">
      <c r="A855" s="132" t="s">
        <v>53</v>
      </c>
      <c r="B855" s="132"/>
      <c r="C855" s="132"/>
      <c r="D855" s="132"/>
      <c r="E855" s="132"/>
      <c r="F855" s="132"/>
      <c r="G855" s="132"/>
      <c r="H855" s="132"/>
      <c r="I855" s="132"/>
      <c r="J855" s="132"/>
      <c r="AG855" s="46"/>
    </row>
    <row r="856" spans="1:34" ht="15.75" x14ac:dyDescent="0.25">
      <c r="A856" s="19" t="s">
        <v>82</v>
      </c>
      <c r="B856" s="60" t="s">
        <v>49</v>
      </c>
      <c r="C856" s="61" t="s">
        <v>50</v>
      </c>
      <c r="D856" s="19" t="s">
        <v>48</v>
      </c>
      <c r="E856" s="60" t="s">
        <v>57</v>
      </c>
      <c r="F856" s="61" t="s">
        <v>50</v>
      </c>
      <c r="G856" s="19" t="s">
        <v>54</v>
      </c>
      <c r="H856" s="60" t="s">
        <v>61</v>
      </c>
      <c r="I856" s="61" t="s">
        <v>50</v>
      </c>
      <c r="J856" s="19" t="s">
        <v>58</v>
      </c>
      <c r="K856" s="83" t="s">
        <v>84</v>
      </c>
      <c r="L856" s="61" t="s">
        <v>50</v>
      </c>
      <c r="M856" s="61" t="s">
        <v>85</v>
      </c>
      <c r="O856" s="174" t="s">
        <v>64</v>
      </c>
      <c r="P856" s="174"/>
      <c r="Q856" s="175" t="s">
        <v>109</v>
      </c>
      <c r="R856" s="175"/>
    </row>
    <row r="857" spans="1:34" ht="24.75" x14ac:dyDescent="0.25">
      <c r="A857" s="61" t="s">
        <v>51</v>
      </c>
      <c r="B857" s="1">
        <f>AA851</f>
        <v>1.3060317021926209E-5</v>
      </c>
      <c r="C857" s="59">
        <f>MAX(AC851+1*L844-F851,0)</f>
        <v>0</v>
      </c>
      <c r="D857" s="62" t="s">
        <v>55</v>
      </c>
      <c r="E857" s="1">
        <f>AA851*AA852</f>
        <v>1.9620816302085884E-9</v>
      </c>
      <c r="F857" s="1">
        <f>MAX(AC852+2*L844-F852,0)</f>
        <v>44.333333333333343</v>
      </c>
      <c r="G857" s="62" t="s">
        <v>59</v>
      </c>
      <c r="H857" s="1">
        <f>AA851*AA852*AA853</f>
        <v>1.9659012058097226E-12</v>
      </c>
      <c r="I857" s="1">
        <f>AC853+3*L844-F853</f>
        <v>108.33333333333334</v>
      </c>
      <c r="J857" s="62" t="s">
        <v>83</v>
      </c>
      <c r="K857" s="1">
        <f>AA851*AA852*AA853*AA854</f>
        <v>1.5750910387734175E-14</v>
      </c>
      <c r="L857" s="1">
        <f>AC854+4*L844-F854</f>
        <v>235.33333333333337</v>
      </c>
      <c r="M857" s="1">
        <f>B857*C857*AH851+E857*F857*AH852+H857*I857*AH853+K857*L857*AH854</f>
        <v>5.8516117268685946E-6</v>
      </c>
      <c r="O857" s="1" t="s">
        <v>27</v>
      </c>
      <c r="P857" s="1">
        <f>H842</f>
        <v>1820</v>
      </c>
      <c r="Q857" s="1">
        <f>(K851*(1-P851)*(1-U851)*(1-Z851))+(P851*(1-K851)*(1-U851)*(1-Z851))+(U851*(1-K851)*(1-P851)*(1-Z851))+(Z851*(1-K851)*(1-P851)*(1-U851))</f>
        <v>0.28083409477630866</v>
      </c>
      <c r="R857" s="1">
        <f>Q857*(L$7*(J$5*K$5+L$5)+I$5)</f>
        <v>9897.9976703909997</v>
      </c>
    </row>
    <row r="858" spans="1:34" ht="24.75" x14ac:dyDescent="0.25">
      <c r="A858" s="62" t="s">
        <v>52</v>
      </c>
      <c r="B858" s="1">
        <f>AB851</f>
        <v>0.99998693968297803</v>
      </c>
      <c r="C858" s="59">
        <f>MAX(AC851-F851,0)</f>
        <v>0</v>
      </c>
      <c r="D858" s="62" t="s">
        <v>56</v>
      </c>
      <c r="E858" s="1">
        <f>AA851*AB852+AA852*AB851</f>
        <v>1.6328870551344767E-4</v>
      </c>
      <c r="F858" s="1">
        <f>MAX(AC852+1*L844-F852,0)</f>
        <v>32.333333333333343</v>
      </c>
      <c r="G858" s="62" t="s">
        <v>60</v>
      </c>
      <c r="H858" s="1">
        <f>AA851*AA852*AB853+AA852*AA853*AB851+AA851*AA853*AB852</f>
        <v>1.6556669464074206E-7</v>
      </c>
      <c r="I858" s="1">
        <f>AC853+2*L844-F853</f>
        <v>96.333333333333343</v>
      </c>
      <c r="J858" s="62" t="s">
        <v>59</v>
      </c>
      <c r="K858">
        <f>AB851*AA852*AA853*AA854+AB852*AA851*AA853*AA854*+AB853*AA851*AA852*AA854+AB854*AA851*AA852*AA853</f>
        <v>1.2079472673201987E-9</v>
      </c>
      <c r="L858" s="1">
        <f>AC854+3*L844-F854</f>
        <v>223.33333333333337</v>
      </c>
      <c r="M858" s="1">
        <f>B858*C858*AH851+E858*F858*AH852+H858*I858*AH853+K858*L858*AH854</f>
        <v>0.35550301178042998</v>
      </c>
      <c r="O858" s="1" t="s">
        <v>28</v>
      </c>
      <c r="P858" s="1">
        <f>2*H843</f>
        <v>5440</v>
      </c>
      <c r="Q858" s="1">
        <f t="shared" ref="Q858:Q860" si="90">(K852*(1-P852)*(1-U852)*(1-Z852))+(P852*(1-K852)*(1-U852)*(1-Z852))+(U852*(1-K852)*(1-P852)*(1-Z852))+(Z852*(1-K852)*(1-P852)*(1-U852))</f>
        <v>0.41290502350113689</v>
      </c>
      <c r="R858" s="1">
        <f t="shared" ref="R858:R860" si="91">Q858*(L$7*(J$5*K$5+L$5)+I$5)</f>
        <v>14552.83755329757</v>
      </c>
    </row>
    <row r="859" spans="1:34" ht="24.75" x14ac:dyDescent="0.25">
      <c r="A859" s="1"/>
      <c r="B859" s="1"/>
      <c r="C859" s="1"/>
      <c r="D859" s="62" t="s">
        <v>52</v>
      </c>
      <c r="E859" s="1">
        <f>AB851*AB852</f>
        <v>0.99983670933240487</v>
      </c>
      <c r="F859" s="59">
        <f>MAX(AC852-F852,0)</f>
        <v>20.333333333333343</v>
      </c>
      <c r="G859" s="62" t="s">
        <v>56</v>
      </c>
      <c r="H859" s="1">
        <f>AA851*AB852*AB853+AA852*AB851*AB853*+AA853*AB851*AB852</f>
        <v>1.3195618597876309E-5</v>
      </c>
      <c r="I859" s="1">
        <f>AC853+1*L844-F853</f>
        <v>84.333333333333343</v>
      </c>
      <c r="J859" s="62" t="s">
        <v>60</v>
      </c>
      <c r="K859" s="1">
        <f>AA851*AA852*AB853*AB854 + AA851*AA853*AB852*AB854 + AA851*AA854*AB852*AB853 + AA852*AA853*AB851*AB854 + AA852*AA854*AB851*AB853 + AA853*AA854*AB851*AB852</f>
        <v>9.4975496887359869E-6</v>
      </c>
      <c r="L859" s="1">
        <f>AC854+2*L844-F854</f>
        <v>211.33333333333337</v>
      </c>
      <c r="M859" s="1">
        <f>B859*C859*AH851+E859*F859*AH852+H859*I859*AH853+K859*L859*AH854</f>
        <v>1362.3135743224084</v>
      </c>
      <c r="O859" s="1" t="s">
        <v>29</v>
      </c>
      <c r="P859" s="1">
        <f>2*(F844*(J842*K842+L842)+H844)</f>
        <v>28200</v>
      </c>
      <c r="Q859" s="1">
        <f t="shared" si="90"/>
        <v>0.46291971105539903</v>
      </c>
      <c r="R859" s="1">
        <f t="shared" si="91"/>
        <v>16315.605216147538</v>
      </c>
    </row>
    <row r="860" spans="1:34" ht="24.75" x14ac:dyDescent="0.25">
      <c r="A860" s="1"/>
      <c r="B860" s="1"/>
      <c r="C860" s="1"/>
      <c r="D860" s="1"/>
      <c r="E860" s="1"/>
      <c r="F860" s="1"/>
      <c r="G860" s="62" t="s">
        <v>52</v>
      </c>
      <c r="H860" s="1">
        <f>AB851*AB852*AB853</f>
        <v>0.99883492624538806</v>
      </c>
      <c r="I860" s="63">
        <f>AC853-F853</f>
        <v>72.333333333333343</v>
      </c>
      <c r="J860" s="62" t="s">
        <v>56</v>
      </c>
      <c r="K860" s="1">
        <f>AA851*AB852*AB853*AB854+AA852*AB851*AB853*AB854+AA853*AB851*AB852*AB854+AA854*AB851*AB852*AB853</f>
        <v>9.158296157098636E-3</v>
      </c>
      <c r="L860" s="1">
        <f>AC854+1*L844-F854</f>
        <v>199.33333333333337</v>
      </c>
      <c r="M860" s="1">
        <f>B860*C860*AH851+E860*F860*AH852+H860*I860*AH853+K860*L860*AH854</f>
        <v>8020.4187111850724</v>
      </c>
      <c r="O860" s="1" t="s">
        <v>30</v>
      </c>
      <c r="P860" s="1">
        <v>0</v>
      </c>
      <c r="Q860" s="1">
        <f t="shared" si="90"/>
        <v>0.42641818468181547</v>
      </c>
      <c r="R860" s="1">
        <f t="shared" si="91"/>
        <v>15029.108919110586</v>
      </c>
    </row>
    <row r="861" spans="1:34" ht="30" x14ac:dyDescent="0.25">
      <c r="I861" s="84"/>
      <c r="J861" s="62" t="s">
        <v>52</v>
      </c>
      <c r="K861" s="85">
        <f>AB851*AB852*AB853*AB854</f>
        <v>0.99083220496471713</v>
      </c>
      <c r="L861" s="1">
        <f>AC854+0*L844-F854</f>
        <v>187.33333333333337</v>
      </c>
      <c r="M861" s="1">
        <f>B861*C861*AH851+E861*F861*AH852+H861*I861*AH853+K861*L861*AH854</f>
        <v>7424.6359892022811</v>
      </c>
      <c r="O861" s="64" t="s">
        <v>65</v>
      </c>
      <c r="P861" s="65">
        <f>SUM(P857:P860)</f>
        <v>35460</v>
      </c>
      <c r="Q861" s="96" t="s">
        <v>108</v>
      </c>
      <c r="R861" s="97">
        <f>SUM(R857:R860)</f>
        <v>55795.549358946693</v>
      </c>
    </row>
    <row r="862" spans="1:34" x14ac:dyDescent="0.25">
      <c r="L862" s="176" t="s">
        <v>63</v>
      </c>
      <c r="M862" s="177">
        <f>SUM(M857:M861)</f>
        <v>16807.723783573154</v>
      </c>
    </row>
    <row r="863" spans="1:34" x14ac:dyDescent="0.25">
      <c r="L863" s="176"/>
      <c r="M863" s="177"/>
    </row>
    <row r="864" spans="1:34" x14ac:dyDescent="0.25">
      <c r="A864" s="178" t="s">
        <v>90</v>
      </c>
      <c r="B864" s="178"/>
      <c r="C864" s="178"/>
      <c r="D864" s="178"/>
      <c r="E864" s="178"/>
      <c r="F864" s="178"/>
      <c r="G864" s="178"/>
      <c r="H864" s="178"/>
      <c r="I864" s="178"/>
      <c r="J864" s="178"/>
      <c r="K864" s="178"/>
      <c r="L864" s="178"/>
      <c r="M864" s="178"/>
      <c r="N864" s="178"/>
    </row>
    <row r="865" spans="1:22" ht="15.75" x14ac:dyDescent="0.25">
      <c r="A865" s="87" t="s">
        <v>86</v>
      </c>
      <c r="B865" s="62" t="s">
        <v>49</v>
      </c>
      <c r="C865" s="90" t="s">
        <v>103</v>
      </c>
      <c r="D865" s="62" t="s">
        <v>88</v>
      </c>
      <c r="E865" s="87" t="s">
        <v>75</v>
      </c>
      <c r="F865" s="62" t="s">
        <v>57</v>
      </c>
      <c r="G865" s="90" t="s">
        <v>87</v>
      </c>
      <c r="H865" s="62" t="s">
        <v>88</v>
      </c>
      <c r="I865" s="87" t="s">
        <v>76</v>
      </c>
      <c r="J865" s="62" t="s">
        <v>61</v>
      </c>
      <c r="K865" s="90" t="s">
        <v>102</v>
      </c>
      <c r="L865" s="62" t="s">
        <v>88</v>
      </c>
      <c r="M865" s="87" t="s">
        <v>77</v>
      </c>
      <c r="N865" s="62" t="s">
        <v>84</v>
      </c>
      <c r="O865" s="90" t="s">
        <v>78</v>
      </c>
      <c r="P865" s="62" t="s">
        <v>88</v>
      </c>
    </row>
    <row r="866" spans="1:22" ht="24.75" x14ac:dyDescent="0.25">
      <c r="A866" s="62" t="s">
        <v>51</v>
      </c>
      <c r="B866" s="86">
        <v>1.3060317021926209E-5</v>
      </c>
      <c r="C866" s="86">
        <f>AC851+1*L844</f>
        <v>81.666666666666671</v>
      </c>
      <c r="D866" s="86">
        <f>MAX(B866*1.5*((C866-F851)*500/2),0)</f>
        <v>0</v>
      </c>
      <c r="E866" s="62" t="s">
        <v>55</v>
      </c>
      <c r="F866" s="86">
        <v>1.9620816302085884E-9</v>
      </c>
      <c r="G866" s="86">
        <f>AC852+2*L844</f>
        <v>139.33333333333334</v>
      </c>
      <c r="H866" s="86">
        <f>F866*1.5*((G866-F852)*500/2+(G866-F853)*500+(G866-F854)*500)</f>
        <v>1.7487052529234045E-4</v>
      </c>
      <c r="I866" s="62" t="s">
        <v>59</v>
      </c>
      <c r="J866" s="86">
        <v>1.9659012058097226E-12</v>
      </c>
      <c r="K866" s="86">
        <f>AC853+3*L844</f>
        <v>214.33333333333334</v>
      </c>
      <c r="L866" s="86">
        <f>J866*1.5*((K866-G866)*500/2+(K866-G866)*500)</f>
        <v>1.6587291424019535E-7</v>
      </c>
      <c r="M866" s="62" t="s">
        <v>83</v>
      </c>
      <c r="N866" s="86">
        <v>1.5750910387734175E-14</v>
      </c>
      <c r="O866" s="86">
        <f>AC854+4*L844</f>
        <v>311.33333333333337</v>
      </c>
      <c r="P866" s="86">
        <f>N866*1.5*((O866-K866)*500/2)</f>
        <v>5.729393653538308E-10</v>
      </c>
    </row>
    <row r="867" spans="1:22" ht="24.75" x14ac:dyDescent="0.25">
      <c r="A867" s="62" t="s">
        <v>52</v>
      </c>
      <c r="B867" s="86">
        <v>0.99998693968297803</v>
      </c>
      <c r="C867" s="88">
        <f>AC851</f>
        <v>69.666666666666671</v>
      </c>
      <c r="D867" s="86">
        <f>MAX(B867*1.5*((C867-F851)*500/2),0)</f>
        <v>0</v>
      </c>
      <c r="E867" s="62" t="s">
        <v>56</v>
      </c>
      <c r="F867" s="86">
        <v>1.6328870551344767E-4</v>
      </c>
      <c r="G867" s="86">
        <f>AC852+1*L844</f>
        <v>127.33333333333334</v>
      </c>
      <c r="H867" s="86">
        <f>F867*1.5*((G867-F852)*500/2+(G867-F853)*500+(G867-F854)*500)</f>
        <v>10.879110004833453</v>
      </c>
      <c r="I867" s="62" t="s">
        <v>60</v>
      </c>
      <c r="J867" s="86">
        <v>1.6556669464074206E-7</v>
      </c>
      <c r="K867" s="86">
        <f>AC853+2*L844</f>
        <v>202.33333333333334</v>
      </c>
      <c r="L867" s="86">
        <f>J867*1.5*((K867-G867)*500/2+(K867-G867)*500)</f>
        <v>1.3969689860312611E-2</v>
      </c>
      <c r="M867" s="62" t="s">
        <v>59</v>
      </c>
      <c r="N867" s="86">
        <v>1.2079472673201987E-9</v>
      </c>
      <c r="O867" s="86">
        <f>AC854+3*L844</f>
        <v>299.33333333333337</v>
      </c>
      <c r="P867" s="86">
        <f>N867*1.5*((O867-K867)*500/2)</f>
        <v>4.393908184877224E-5</v>
      </c>
    </row>
    <row r="868" spans="1:22" x14ac:dyDescent="0.25">
      <c r="A868" s="86"/>
      <c r="B868" s="86"/>
      <c r="C868" s="89" t="s">
        <v>89</v>
      </c>
      <c r="D868" s="89">
        <f>SUM(D866:D867)</f>
        <v>0</v>
      </c>
      <c r="E868" s="62" t="s">
        <v>52</v>
      </c>
      <c r="F868" s="86">
        <v>0.99983670933240487</v>
      </c>
      <c r="G868" s="86">
        <f>AC852+0*L844</f>
        <v>115.33333333333334</v>
      </c>
      <c r="H868" s="86">
        <f>F868*1.5*((G868-F852)*500/2+(G868-F853)*500+(G868-F854)*500)</f>
        <v>44117.79479929238</v>
      </c>
      <c r="I868" s="62" t="s">
        <v>56</v>
      </c>
      <c r="J868" s="86">
        <v>1.3195618597876309E-5</v>
      </c>
      <c r="K868" s="86">
        <f>AC853+1*L844</f>
        <v>190.33333333333334</v>
      </c>
      <c r="L868" s="86">
        <f>J868*1.5*((K868-G868)*500/2+(K868-G868)*500)</f>
        <v>1.1133803191958136</v>
      </c>
      <c r="M868" s="62" t="s">
        <v>60</v>
      </c>
      <c r="N868" s="86">
        <v>9.4975496887359869E-6</v>
      </c>
      <c r="O868" s="86">
        <f>AC854+2*L844</f>
        <v>287.33333333333337</v>
      </c>
      <c r="P868" s="86">
        <f>N868*1.5*((O868-K868)*500/2)</f>
        <v>0.34547336992777161</v>
      </c>
    </row>
    <row r="869" spans="1:22" x14ac:dyDescent="0.25">
      <c r="A869" s="86"/>
      <c r="B869" s="86"/>
      <c r="C869" s="86"/>
      <c r="D869" s="86"/>
      <c r="E869" s="86"/>
      <c r="F869" s="86"/>
      <c r="G869" s="89" t="s">
        <v>79</v>
      </c>
      <c r="H869" s="89">
        <f>SUM(H866:H868)</f>
        <v>44128.674084167738</v>
      </c>
      <c r="I869" s="62" t="s">
        <v>52</v>
      </c>
      <c r="J869" s="86">
        <v>0.99883492624538806</v>
      </c>
      <c r="K869" s="86">
        <f>AC853+0*L844</f>
        <v>178.33333333333334</v>
      </c>
      <c r="L869" s="86">
        <f>J869*1.5*((K869-G868)*500/2+(K869-G868)*500)</f>
        <v>70792.425397641884</v>
      </c>
      <c r="M869" s="62" t="s">
        <v>56</v>
      </c>
      <c r="N869" s="86">
        <v>9.158296157098636E-3</v>
      </c>
      <c r="O869" s="86">
        <f>AC854+1*L844</f>
        <v>275.33333333333337</v>
      </c>
      <c r="P869" s="86">
        <f>N869*1.5*((O869-K869)*500/2)</f>
        <v>333.13302271446298</v>
      </c>
    </row>
    <row r="870" spans="1:22" x14ac:dyDescent="0.25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9" t="s">
        <v>79</v>
      </c>
      <c r="L870" s="89">
        <f>SUM(L866:L869)</f>
        <v>70793.552747816808</v>
      </c>
      <c r="M870" s="62" t="s">
        <v>52</v>
      </c>
      <c r="N870" s="86">
        <v>0.99083220496471713</v>
      </c>
      <c r="O870" s="86">
        <f>AC854+0*L844</f>
        <v>263.33333333333337</v>
      </c>
      <c r="P870" s="86">
        <f>N870*1.5*((O870-K869)*500/2)</f>
        <v>31582.776533250366</v>
      </c>
      <c r="Q870" s="179" t="s">
        <v>80</v>
      </c>
      <c r="R870" s="179"/>
      <c r="S870" s="180">
        <f>D868+H869+L870+P871</f>
        <v>146838.48190525896</v>
      </c>
      <c r="T870" s="180"/>
    </row>
    <row r="871" spans="1:22" x14ac:dyDescent="0.25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9" t="s">
        <v>79</v>
      </c>
      <c r="P871" s="89">
        <f>SUM(P866:P870)</f>
        <v>31916.255073274413</v>
      </c>
      <c r="Q871" s="179"/>
      <c r="R871" s="179"/>
      <c r="S871" s="180"/>
      <c r="T871" s="180"/>
    </row>
    <row r="872" spans="1:22" x14ac:dyDescent="0.25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</row>
    <row r="873" spans="1:22" x14ac:dyDescent="0.25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</row>
    <row r="874" spans="1:22" x14ac:dyDescent="0.25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</row>
    <row r="875" spans="1:22" ht="24.75" thickBot="1" x14ac:dyDescent="0.3">
      <c r="O875" s="131" t="s">
        <v>81</v>
      </c>
      <c r="P875" s="131"/>
      <c r="Q875" s="131">
        <f>(R861+P861+M862+S870)/AC854</f>
        <v>967.98134828270418</v>
      </c>
      <c r="R875" s="131"/>
    </row>
    <row r="876" spans="1:22" x14ac:dyDescent="0.25">
      <c r="A876" s="181" t="s">
        <v>128</v>
      </c>
      <c r="B876" s="182"/>
    </row>
    <row r="877" spans="1:22" ht="15.75" thickBot="1" x14ac:dyDescent="0.3">
      <c r="A877" s="183"/>
      <c r="B877" s="184"/>
    </row>
    <row r="878" spans="1:22" ht="21" x14ac:dyDescent="0.35">
      <c r="A878" s="185" t="s">
        <v>14</v>
      </c>
      <c r="B878" s="185"/>
      <c r="C878" s="165"/>
      <c r="D878" s="165"/>
      <c r="E878" s="165"/>
      <c r="F878" s="165"/>
      <c r="G878" s="165"/>
      <c r="H878" s="165"/>
      <c r="I878" s="165"/>
      <c r="J878" s="165"/>
      <c r="K878" s="165"/>
      <c r="L878" s="165"/>
      <c r="M878" s="165"/>
      <c r="O878" s="166" t="s">
        <v>72</v>
      </c>
      <c r="P878" s="166"/>
      <c r="Q878" s="166"/>
      <c r="R878" s="166"/>
      <c r="S878" s="166"/>
      <c r="T878" s="166"/>
      <c r="U878" s="166"/>
      <c r="V878" s="166"/>
    </row>
    <row r="879" spans="1:22" ht="36" x14ac:dyDescent="0.25">
      <c r="A879" s="4" t="s">
        <v>15</v>
      </c>
      <c r="B879" s="4" t="s">
        <v>16</v>
      </c>
      <c r="C879" s="4" t="s">
        <v>31</v>
      </c>
      <c r="D879" s="6" t="s">
        <v>17</v>
      </c>
      <c r="E879" s="6" t="s">
        <v>18</v>
      </c>
      <c r="F879" s="6" t="s">
        <v>19</v>
      </c>
      <c r="G879" s="6" t="s">
        <v>20</v>
      </c>
      <c r="H879" s="6" t="s">
        <v>21</v>
      </c>
      <c r="I879" s="6" t="s">
        <v>22</v>
      </c>
      <c r="J879" s="6" t="s">
        <v>23</v>
      </c>
      <c r="K879" s="6" t="s">
        <v>24</v>
      </c>
      <c r="L879" s="6" t="s">
        <v>25</v>
      </c>
      <c r="M879" s="6" t="s">
        <v>26</v>
      </c>
      <c r="N879" s="8"/>
      <c r="O879" s="167" t="s">
        <v>32</v>
      </c>
      <c r="P879" s="167" t="s">
        <v>35</v>
      </c>
      <c r="Q879" s="167" t="s">
        <v>66</v>
      </c>
      <c r="R879" s="99" t="s">
        <v>67</v>
      </c>
      <c r="S879" s="99" t="s">
        <v>68</v>
      </c>
      <c r="T879" s="167" t="s">
        <v>69</v>
      </c>
      <c r="U879" s="71" t="s">
        <v>33</v>
      </c>
      <c r="V879" s="99" t="s">
        <v>70</v>
      </c>
    </row>
    <row r="880" spans="1:22" x14ac:dyDescent="0.25">
      <c r="A880" s="3" t="s">
        <v>27</v>
      </c>
      <c r="B880" s="3">
        <v>0</v>
      </c>
      <c r="C880" s="3">
        <v>0.3</v>
      </c>
      <c r="D880" s="3">
        <v>243</v>
      </c>
      <c r="E880" s="3">
        <v>1.73</v>
      </c>
      <c r="F880" s="3">
        <v>5</v>
      </c>
      <c r="G880" s="169">
        <v>12</v>
      </c>
      <c r="H880" s="3">
        <v>1820</v>
      </c>
      <c r="I880" s="169">
        <v>19645</v>
      </c>
      <c r="J880" s="3">
        <v>20</v>
      </c>
      <c r="K880" s="3">
        <v>40</v>
      </c>
      <c r="L880" s="3">
        <v>500</v>
      </c>
      <c r="M880" s="3">
        <v>1000</v>
      </c>
      <c r="O880" s="168"/>
      <c r="P880" s="168"/>
      <c r="Q880" s="168"/>
      <c r="R880" s="72" t="s">
        <v>71</v>
      </c>
      <c r="S880" s="72" t="s">
        <v>71</v>
      </c>
      <c r="T880" s="168"/>
      <c r="U880" s="73">
        <v>500</v>
      </c>
      <c r="V880" s="3">
        <v>1.5</v>
      </c>
    </row>
    <row r="881" spans="1:34" x14ac:dyDescent="0.25">
      <c r="A881" s="3" t="s">
        <v>28</v>
      </c>
      <c r="B881" s="3">
        <v>0</v>
      </c>
      <c r="C881" s="3">
        <v>0.3</v>
      </c>
      <c r="D881" s="3">
        <v>254</v>
      </c>
      <c r="E881" s="3">
        <v>1.88</v>
      </c>
      <c r="F881" s="3">
        <v>3</v>
      </c>
      <c r="G881" s="170"/>
      <c r="H881" s="3">
        <v>2720</v>
      </c>
      <c r="I881" s="170"/>
      <c r="J881" s="5"/>
      <c r="K881" s="5"/>
      <c r="L881" s="5"/>
      <c r="M881" s="5"/>
      <c r="O881" s="74">
        <v>1</v>
      </c>
      <c r="P881" s="74">
        <v>106</v>
      </c>
      <c r="Q881" s="74">
        <v>110</v>
      </c>
      <c r="R881" s="74">
        <v>6</v>
      </c>
      <c r="S881" s="74">
        <v>5</v>
      </c>
      <c r="T881" s="74">
        <f>R881*$U$5/60+S881</f>
        <v>55</v>
      </c>
      <c r="U881" s="75"/>
    </row>
    <row r="882" spans="1:34" x14ac:dyDescent="0.25">
      <c r="A882" s="3" t="s">
        <v>29</v>
      </c>
      <c r="B882" s="3">
        <v>0</v>
      </c>
      <c r="C882" s="3">
        <v>0.3</v>
      </c>
      <c r="D882" s="3">
        <v>143</v>
      </c>
      <c r="E882" s="3">
        <v>2.4300000000000002</v>
      </c>
      <c r="F882" s="3">
        <v>8</v>
      </c>
      <c r="G882" s="170"/>
      <c r="H882" s="3">
        <v>3700</v>
      </c>
      <c r="I882" s="170"/>
      <c r="J882" s="5"/>
      <c r="K882" s="140" t="s">
        <v>73</v>
      </c>
      <c r="L882" s="141">
        <v>12</v>
      </c>
      <c r="M882" s="140" t="s">
        <v>74</v>
      </c>
      <c r="N882" s="141">
        <v>19645</v>
      </c>
      <c r="O882" s="74">
        <v>2</v>
      </c>
      <c r="P882" s="74">
        <v>76</v>
      </c>
      <c r="Q882" s="74">
        <v>40</v>
      </c>
      <c r="R882" s="74">
        <v>9</v>
      </c>
      <c r="S882" s="74">
        <v>2</v>
      </c>
      <c r="T882" s="74">
        <f t="shared" ref="T882:T884" si="92">R882*$U$5/60+S882</f>
        <v>77</v>
      </c>
      <c r="U882" s="75"/>
    </row>
    <row r="883" spans="1:34" x14ac:dyDescent="0.25">
      <c r="A883" s="3" t="s">
        <v>30</v>
      </c>
      <c r="B883" s="3">
        <v>0</v>
      </c>
      <c r="C883" s="3">
        <v>0.3</v>
      </c>
      <c r="D883" s="3">
        <v>449</v>
      </c>
      <c r="E883" s="3">
        <v>2.5299999999999998</v>
      </c>
      <c r="F883" s="3">
        <v>4</v>
      </c>
      <c r="G883" s="171"/>
      <c r="H883" s="3">
        <v>4320</v>
      </c>
      <c r="I883" s="171"/>
      <c r="J883" s="5"/>
      <c r="K883" s="140"/>
      <c r="L883" s="141"/>
      <c r="M883" s="140"/>
      <c r="N883" s="141"/>
      <c r="O883" s="74">
        <v>3</v>
      </c>
      <c r="P883" s="74">
        <v>95</v>
      </c>
      <c r="Q883" s="74">
        <v>67</v>
      </c>
      <c r="R883" s="74">
        <v>5</v>
      </c>
      <c r="S883" s="74">
        <v>4</v>
      </c>
      <c r="T883" s="74">
        <f t="shared" si="92"/>
        <v>45.666666666666664</v>
      </c>
      <c r="U883" s="75"/>
    </row>
    <row r="884" spans="1:34" ht="15.75" thickBo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O884" s="74">
        <v>4</v>
      </c>
      <c r="P884" s="74">
        <v>140</v>
      </c>
      <c r="Q884" s="94">
        <v>85</v>
      </c>
      <c r="R884" s="94">
        <v>8</v>
      </c>
      <c r="S884" s="94">
        <v>3</v>
      </c>
      <c r="T884" s="74">
        <f t="shared" si="92"/>
        <v>69.666666666666671</v>
      </c>
    </row>
    <row r="885" spans="1:34" ht="15" customHeight="1" x14ac:dyDescent="0.25">
      <c r="A885" s="142" t="s">
        <v>101</v>
      </c>
      <c r="B885" s="144" t="s">
        <v>107</v>
      </c>
      <c r="C885" s="144"/>
      <c r="D885" s="144"/>
      <c r="E885" s="144"/>
      <c r="F885" s="20" t="s">
        <v>27</v>
      </c>
      <c r="G885" s="20" t="s">
        <v>28</v>
      </c>
      <c r="H885" s="20" t="s">
        <v>29</v>
      </c>
      <c r="I885" s="20" t="s">
        <v>30</v>
      </c>
    </row>
    <row r="886" spans="1:34" ht="15.75" customHeight="1" thickBot="1" x14ac:dyDescent="0.3">
      <c r="A886" s="143"/>
      <c r="B886" s="145"/>
      <c r="C886" s="145"/>
      <c r="D886" s="145"/>
      <c r="E886" s="145"/>
      <c r="F886" s="20">
        <v>168</v>
      </c>
      <c r="G886" s="26">
        <v>84</v>
      </c>
      <c r="H886" s="26">
        <v>84</v>
      </c>
      <c r="I886" s="26">
        <v>252</v>
      </c>
    </row>
    <row r="887" spans="1:34" ht="15.75" customHeight="1" thickBot="1" x14ac:dyDescent="0.3">
      <c r="A887" s="143"/>
      <c r="B887" s="145"/>
      <c r="C887" s="145"/>
      <c r="D887" s="145"/>
      <c r="E887" s="145"/>
      <c r="F887" s="7"/>
      <c r="G887" s="146" t="s">
        <v>27</v>
      </c>
      <c r="H887" s="147"/>
      <c r="I887" s="147"/>
      <c r="J887" s="147"/>
      <c r="K887" s="148"/>
      <c r="L887" s="149" t="s">
        <v>28</v>
      </c>
      <c r="M887" s="150"/>
      <c r="N887" s="150"/>
      <c r="O887" s="150"/>
      <c r="P887" s="151"/>
      <c r="Q887" s="152" t="s">
        <v>29</v>
      </c>
      <c r="R887" s="153"/>
      <c r="S887" s="153"/>
      <c r="T887" s="153"/>
      <c r="U887" s="154"/>
      <c r="V887" s="155" t="s">
        <v>30</v>
      </c>
      <c r="W887" s="156"/>
      <c r="X887" s="156"/>
      <c r="Y887" s="156"/>
      <c r="Z887" s="157"/>
      <c r="AA887" s="158" t="s">
        <v>42</v>
      </c>
      <c r="AB887" s="159"/>
      <c r="AC887" s="160" t="s">
        <v>44</v>
      </c>
      <c r="AD887" s="162" t="s">
        <v>47</v>
      </c>
      <c r="AE887" s="163"/>
      <c r="AF887" s="163"/>
      <c r="AG887" s="164"/>
      <c r="AH887" s="138" t="s">
        <v>62</v>
      </c>
    </row>
    <row r="888" spans="1:34" ht="36.75" x14ac:dyDescent="0.25">
      <c r="A888" s="21" t="s">
        <v>32</v>
      </c>
      <c r="B888" s="22" t="s">
        <v>37</v>
      </c>
      <c r="C888" s="23" t="s">
        <v>33</v>
      </c>
      <c r="D888" s="22" t="s">
        <v>38</v>
      </c>
      <c r="E888" s="22" t="s">
        <v>34</v>
      </c>
      <c r="F888" s="25" t="s">
        <v>35</v>
      </c>
      <c r="G888" s="27" t="s">
        <v>39</v>
      </c>
      <c r="H888" s="10" t="s">
        <v>40</v>
      </c>
      <c r="I888" s="10" t="s">
        <v>45</v>
      </c>
      <c r="J888" s="10" t="s">
        <v>46</v>
      </c>
      <c r="K888" s="28" t="s">
        <v>41</v>
      </c>
      <c r="L888" s="30" t="s">
        <v>39</v>
      </c>
      <c r="M888" s="13" t="s">
        <v>40</v>
      </c>
      <c r="N888" s="13" t="s">
        <v>45</v>
      </c>
      <c r="O888" s="13" t="s">
        <v>46</v>
      </c>
      <c r="P888" s="31" t="s">
        <v>41</v>
      </c>
      <c r="Q888" s="33" t="s">
        <v>39</v>
      </c>
      <c r="R888" s="12" t="s">
        <v>40</v>
      </c>
      <c r="S888" s="12" t="s">
        <v>45</v>
      </c>
      <c r="T888" s="12" t="s">
        <v>46</v>
      </c>
      <c r="U888" s="34" t="s">
        <v>41</v>
      </c>
      <c r="V888" s="36" t="s">
        <v>39</v>
      </c>
      <c r="W888" s="11" t="s">
        <v>40</v>
      </c>
      <c r="X888" s="11" t="s">
        <v>45</v>
      </c>
      <c r="Y888" s="11" t="s">
        <v>46</v>
      </c>
      <c r="Z888" s="37" t="s">
        <v>41</v>
      </c>
      <c r="AA888" s="39" t="s">
        <v>41</v>
      </c>
      <c r="AB888" s="40" t="s">
        <v>43</v>
      </c>
      <c r="AC888" s="161"/>
      <c r="AD888" s="43" t="s">
        <v>27</v>
      </c>
      <c r="AE888" s="1" t="s">
        <v>28</v>
      </c>
      <c r="AF888" s="1" t="s">
        <v>29</v>
      </c>
      <c r="AG888" s="1" t="s">
        <v>30</v>
      </c>
      <c r="AH888" s="139"/>
    </row>
    <row r="889" spans="1:34" x14ac:dyDescent="0.25">
      <c r="A889" s="24">
        <v>4</v>
      </c>
      <c r="B889" s="9">
        <v>8</v>
      </c>
      <c r="C889" s="9">
        <v>500</v>
      </c>
      <c r="D889" s="9">
        <v>3</v>
      </c>
      <c r="E889" s="48">
        <f>B889*C889/60+D889</f>
        <v>69.666666666666671</v>
      </c>
      <c r="F889" s="100">
        <v>140</v>
      </c>
      <c r="G889" s="49">
        <f>B$5*(1-AD889*C$5)</f>
        <v>0</v>
      </c>
      <c r="H889" s="50">
        <f>G889+E889</f>
        <v>69.666666666666671</v>
      </c>
      <c r="I889" s="15">
        <f>(H889/D$5)^E$5</f>
        <v>0.11516869637804684</v>
      </c>
      <c r="J889" s="15">
        <f>(G889/D$5)^E$5</f>
        <v>0</v>
      </c>
      <c r="K889" s="29">
        <f>1-EXP(J889-I889)</f>
        <v>0.10878421365041502</v>
      </c>
      <c r="L889" s="51">
        <f>B$6*(1-AE889*C$6)</f>
        <v>0</v>
      </c>
      <c r="M889" s="52">
        <f>L889+E889</f>
        <v>69.666666666666671</v>
      </c>
      <c r="N889" s="17">
        <f>(M889/D$6)^E$6</f>
        <v>8.7861714115895329E-2</v>
      </c>
      <c r="O889" s="17">
        <f>(L889/D$6)^E$6</f>
        <v>0</v>
      </c>
      <c r="P889" s="32">
        <f>1-EXP(O889-N889)</f>
        <v>8.4112477717763534E-2</v>
      </c>
      <c r="Q889" s="53">
        <f>B$7*(1-AF889*C$7)</f>
        <v>0</v>
      </c>
      <c r="R889" s="54">
        <f>Q889+E889</f>
        <v>69.666666666666671</v>
      </c>
      <c r="S889" s="16">
        <f>(R889/D$7)^E$7</f>
        <v>0.17421448251746105</v>
      </c>
      <c r="T889" s="16">
        <f>(Q889/D$7)^E$7</f>
        <v>0</v>
      </c>
      <c r="U889" s="35">
        <f>1-EXP(T889-S889)</f>
        <v>0.15988331200899064</v>
      </c>
      <c r="V889" s="55">
        <f>B$8*(1-AG889*C$8)</f>
        <v>0</v>
      </c>
      <c r="W889" s="56">
        <f>V889+E889</f>
        <v>69.666666666666671</v>
      </c>
      <c r="X889" s="18">
        <f>(W889/D$8)^E$8</f>
        <v>8.9674731846197935E-3</v>
      </c>
      <c r="Y889" s="18">
        <f>(V889/D$8)^E$8</f>
        <v>0</v>
      </c>
      <c r="Z889" s="38">
        <f>1-EXP(Y889-X889)</f>
        <v>8.9273853154187011E-3</v>
      </c>
      <c r="AA889" s="41">
        <f>K889*P889*U889*Z889</f>
        <v>1.3060317021926209E-5</v>
      </c>
      <c r="AB889" s="42">
        <f>1-AA889</f>
        <v>0.99998693968297803</v>
      </c>
      <c r="AC889" s="47">
        <f>(AD889*F$5+AE889*F$6+AF889*F$7+AG889*F$8)+E889</f>
        <v>69.666666666666671</v>
      </c>
      <c r="AD889" s="43">
        <v>0</v>
      </c>
      <c r="AE889" s="1">
        <v>0</v>
      </c>
      <c r="AF889" s="1">
        <v>0</v>
      </c>
      <c r="AG889" s="1">
        <v>0</v>
      </c>
      <c r="AH889" s="74">
        <v>85</v>
      </c>
    </row>
    <row r="890" spans="1:34" x14ac:dyDescent="0.25">
      <c r="A890" s="76">
        <v>3</v>
      </c>
      <c r="B890" s="58">
        <v>5</v>
      </c>
      <c r="C890" s="9">
        <v>500</v>
      </c>
      <c r="D890" s="58">
        <v>4</v>
      </c>
      <c r="E890" s="48">
        <f t="shared" ref="E890:E892" si="93">B890*C890/60+D890</f>
        <v>45.666666666666664</v>
      </c>
      <c r="F890" s="100">
        <v>95</v>
      </c>
      <c r="G890" s="49">
        <f>H889*(1-AD890*C$5)</f>
        <v>69.666666666666671</v>
      </c>
      <c r="H890" s="50">
        <f>G890+E890</f>
        <v>115.33333333333334</v>
      </c>
      <c r="I890" s="15">
        <f>(H890/D$5)^E$5</f>
        <v>0.27547552976184858</v>
      </c>
      <c r="J890" s="15">
        <f>(G890/D$5)^E$5</f>
        <v>0.11516869637804684</v>
      </c>
      <c r="K890" s="29">
        <f>1-EXP(J890-I890)</f>
        <v>0.14811763708687153</v>
      </c>
      <c r="L890" s="51">
        <f>M889*(1-AE890*C$6)</f>
        <v>69.666666666666671</v>
      </c>
      <c r="M890" s="52">
        <f>L890+E890</f>
        <v>115.33333333333334</v>
      </c>
      <c r="N890" s="17">
        <f>(M890/D$6)^E$6</f>
        <v>0.22666669883015245</v>
      </c>
      <c r="O890" s="17">
        <f>(L890/D$6)^E$6</f>
        <v>8.7861714115895329E-2</v>
      </c>
      <c r="P890" s="32">
        <f>1-EXP(O890-N890)</f>
        <v>0.12960224722523705</v>
      </c>
      <c r="Q890" s="53">
        <f>R889*(1-AF890*C$7)</f>
        <v>69.666666666666671</v>
      </c>
      <c r="R890" s="54">
        <f>Q890+E890</f>
        <v>115.33333333333334</v>
      </c>
      <c r="S890" s="16">
        <f>(R890/D$7)^E$7</f>
        <v>0.59303960801780564</v>
      </c>
      <c r="T890" s="16">
        <f>(Q890/D$7)^E$7</f>
        <v>0.17421448251746105</v>
      </c>
      <c r="U890" s="35">
        <f>1-EXP(T890-S890)</f>
        <v>0.34218077898287225</v>
      </c>
      <c r="V890" s="55">
        <f>W889*(1-AG890*C$8)</f>
        <v>69.666666666666671</v>
      </c>
      <c r="W890" s="56">
        <f>V890+E890</f>
        <v>115.33333333333334</v>
      </c>
      <c r="X890" s="18">
        <f>(W890/D$8)^E$8</f>
        <v>3.2104248826077181E-2</v>
      </c>
      <c r="Y890" s="18">
        <f>(V890/D$8)^E$8</f>
        <v>8.9674731846197935E-3</v>
      </c>
      <c r="Z890" s="38">
        <f>1-EXP(Y890-X890)</f>
        <v>2.2871172789123873E-2</v>
      </c>
      <c r="AA890" s="41">
        <f>K890*P890*U890*Z890</f>
        <v>1.502323126547819E-4</v>
      </c>
      <c r="AB890" s="42">
        <f>1-AA890</f>
        <v>0.99984976768734524</v>
      </c>
      <c r="AC890" s="47">
        <f>AF890*F$7+E890+AC889</f>
        <v>115.33333333333334</v>
      </c>
      <c r="AD890" s="43">
        <v>0</v>
      </c>
      <c r="AE890" s="1">
        <v>0</v>
      </c>
      <c r="AF890" s="1">
        <v>0</v>
      </c>
      <c r="AG890" s="1">
        <v>0</v>
      </c>
      <c r="AH890" s="74">
        <v>67</v>
      </c>
    </row>
    <row r="891" spans="1:34" x14ac:dyDescent="0.25">
      <c r="A891" s="24">
        <v>2</v>
      </c>
      <c r="B891" s="9">
        <v>9</v>
      </c>
      <c r="C891" s="58">
        <v>500</v>
      </c>
      <c r="D891" s="58">
        <v>2</v>
      </c>
      <c r="E891" s="48">
        <f t="shared" si="93"/>
        <v>77</v>
      </c>
      <c r="F891" s="100">
        <v>76</v>
      </c>
      <c r="G891" s="68">
        <f>H890*(1-AD891*C$5)</f>
        <v>115.33333333333334</v>
      </c>
      <c r="H891" s="69">
        <f>G891+E891</f>
        <v>192.33333333333334</v>
      </c>
      <c r="I891" s="70">
        <f>(H891/D$5)^E$5</f>
        <v>0.66729140773810391</v>
      </c>
      <c r="J891" s="70">
        <f>(G891/D$5)^E$5</f>
        <v>0.27547552976184858</v>
      </c>
      <c r="K891" s="29">
        <f>1-EXP(J891-I891)</f>
        <v>0.32417146257626051</v>
      </c>
      <c r="L891" s="51">
        <f>M890*(1-AE891*C$6)</f>
        <v>80.733333333333334</v>
      </c>
      <c r="M891" s="52">
        <f>L891+E891</f>
        <v>157.73333333333335</v>
      </c>
      <c r="N891" s="17">
        <f>(M891/D$6)^E$6</f>
        <v>0.40832762011069829</v>
      </c>
      <c r="O891" s="17">
        <f>(L891/D$6)^E$6</f>
        <v>0.11592364675943075</v>
      </c>
      <c r="P891" s="32">
        <f>1-EXP(O891-N891)</f>
        <v>0.25353307768869848</v>
      </c>
      <c r="Q891" s="53">
        <f>R890*(1-AF891*C$7)</f>
        <v>80.733333333333334</v>
      </c>
      <c r="R891" s="54">
        <f>Q891+E891</f>
        <v>157.73333333333335</v>
      </c>
      <c r="S891" s="16">
        <f>(R891/D$7)^E$7</f>
        <v>1.269075582984684</v>
      </c>
      <c r="T891" s="16">
        <f>(Q891/D$7)^E$7</f>
        <v>0.24927110408438607</v>
      </c>
      <c r="U891" s="35">
        <f>1-EXP(T891-S891)</f>
        <v>0.63933454901472087</v>
      </c>
      <c r="V891" s="55">
        <f>W890*(1-AG891*C$8)</f>
        <v>115.33333333333334</v>
      </c>
      <c r="W891" s="56">
        <f>V891+E891</f>
        <v>192.33333333333334</v>
      </c>
      <c r="X891" s="18">
        <f>(W891/D$8)^E$8</f>
        <v>0.11707786390726455</v>
      </c>
      <c r="Y891" s="18">
        <f>(V891/D$8)^E$8</f>
        <v>3.2104248826077181E-2</v>
      </c>
      <c r="Z891" s="38">
        <f>1-EXP(Y891-X891)</f>
        <v>8.1463480406769873E-2</v>
      </c>
      <c r="AA891" s="41">
        <f>K891*P891*U891*Z891</f>
        <v>4.2805595531142625E-3</v>
      </c>
      <c r="AB891" s="42">
        <f>1-AA891</f>
        <v>0.99571944044688576</v>
      </c>
      <c r="AC891" s="47">
        <f>(AF891*F$7)+E891+AC890</f>
        <v>200.33333333333334</v>
      </c>
      <c r="AD891" s="77">
        <v>0</v>
      </c>
      <c r="AE891" s="78">
        <v>1</v>
      </c>
      <c r="AF891" s="78">
        <v>1</v>
      </c>
      <c r="AG891" s="78">
        <v>0</v>
      </c>
      <c r="AH891" s="74">
        <v>40</v>
      </c>
    </row>
    <row r="892" spans="1:34" ht="15.75" thickBot="1" x14ac:dyDescent="0.3">
      <c r="A892" s="57">
        <v>1</v>
      </c>
      <c r="B892" s="58">
        <v>6</v>
      </c>
      <c r="C892" s="58">
        <v>500</v>
      </c>
      <c r="D892" s="9">
        <v>5</v>
      </c>
      <c r="E892" s="48">
        <f t="shared" si="93"/>
        <v>55</v>
      </c>
      <c r="F892" s="100">
        <v>106</v>
      </c>
      <c r="G892" s="68">
        <f>H891*(1-AD892*C$5)</f>
        <v>134.63333333333333</v>
      </c>
      <c r="H892" s="69">
        <f>G892+E892</f>
        <v>189.63333333333333</v>
      </c>
      <c r="I892" s="70">
        <f>(H892/D$5)^E$5</f>
        <v>0.65116873667608721</v>
      </c>
      <c r="J892" s="70">
        <f>(G892/D$5)^E$5</f>
        <v>0.36002705832955134</v>
      </c>
      <c r="K892" s="29">
        <f>1-EXP(J892-I892)</f>
        <v>0.25259022126518538</v>
      </c>
      <c r="L892" s="51">
        <f>M891*(1-AE892*C$6)</f>
        <v>110.41333333333334</v>
      </c>
      <c r="M892" s="52">
        <f>L892+E892</f>
        <v>165.41333333333336</v>
      </c>
      <c r="N892" s="17">
        <f>(M892/D$6)^E$6</f>
        <v>0.44650381920973092</v>
      </c>
      <c r="O892" s="17">
        <f>(L892/D$6)^E$6</f>
        <v>0.20883008858438834</v>
      </c>
      <c r="P892" s="32">
        <f>1-EXP(O892-N892)</f>
        <v>0.21154010054978001</v>
      </c>
      <c r="Q892" s="53">
        <f>R891*(1-AF892*C$7)</f>
        <v>110.41333333333334</v>
      </c>
      <c r="R892" s="54">
        <f>Q892+E892</f>
        <v>165.41333333333336</v>
      </c>
      <c r="S892" s="16">
        <f>(R892/D$7)^E$7</f>
        <v>1.4244912195012376</v>
      </c>
      <c r="T892" s="16">
        <f>(Q892/D$7)^E$7</f>
        <v>0.53342789833968418</v>
      </c>
      <c r="U892" s="35">
        <f>1-EXP(T892-S892)</f>
        <v>0.58978067412758073</v>
      </c>
      <c r="V892" s="55">
        <f>W891*(1-AG892*C$8)</f>
        <v>192.33333333333334</v>
      </c>
      <c r="W892" s="56">
        <f>V892+E892</f>
        <v>247.33333333333334</v>
      </c>
      <c r="X892" s="18">
        <f>(W892/D$8)^E$8</f>
        <v>0.22121871391987213</v>
      </c>
      <c r="Y892" s="18">
        <f>(V892/D$8)^E$8</f>
        <v>0.11707786390726455</v>
      </c>
      <c r="Z892" s="38">
        <f>1-EXP(Y892-X892)</f>
        <v>9.8901631234138088E-2</v>
      </c>
      <c r="AA892" s="41">
        <f>K892*P892*U892*Z892</f>
        <v>3.1167590702411061E-3</v>
      </c>
      <c r="AB892" s="42">
        <f>1-AA892</f>
        <v>0.99688324092975888</v>
      </c>
      <c r="AC892" s="47">
        <f>(AF892*F$7)+E892+AC891</f>
        <v>263.33333333333337</v>
      </c>
      <c r="AD892" s="80">
        <v>1</v>
      </c>
      <c r="AE892" s="45">
        <v>1</v>
      </c>
      <c r="AF892" s="81">
        <v>1</v>
      </c>
      <c r="AG892" s="45">
        <v>0</v>
      </c>
      <c r="AH892" s="94">
        <v>110</v>
      </c>
    </row>
    <row r="893" spans="1:34" ht="18.75" x14ac:dyDescent="0.3">
      <c r="A893" s="132" t="s">
        <v>53</v>
      </c>
      <c r="B893" s="132"/>
      <c r="C893" s="132"/>
      <c r="D893" s="132"/>
      <c r="E893" s="132"/>
      <c r="F893" s="132"/>
      <c r="G893" s="132"/>
      <c r="H893" s="132"/>
      <c r="I893" s="132"/>
      <c r="J893" s="132"/>
      <c r="AG893" s="46"/>
    </row>
    <row r="894" spans="1:34" ht="15.75" x14ac:dyDescent="0.25">
      <c r="A894" s="19" t="s">
        <v>82</v>
      </c>
      <c r="B894" s="60" t="s">
        <v>49</v>
      </c>
      <c r="C894" s="61" t="s">
        <v>50</v>
      </c>
      <c r="D894" s="19" t="s">
        <v>48</v>
      </c>
      <c r="E894" s="60" t="s">
        <v>57</v>
      </c>
      <c r="F894" s="61" t="s">
        <v>50</v>
      </c>
      <c r="G894" s="19" t="s">
        <v>54</v>
      </c>
      <c r="H894" s="60" t="s">
        <v>61</v>
      </c>
      <c r="I894" s="61" t="s">
        <v>50</v>
      </c>
      <c r="J894" s="19" t="s">
        <v>58</v>
      </c>
      <c r="K894" s="83" t="s">
        <v>84</v>
      </c>
      <c r="L894" s="61" t="s">
        <v>50</v>
      </c>
      <c r="M894" s="61" t="s">
        <v>85</v>
      </c>
      <c r="O894" s="174" t="s">
        <v>64</v>
      </c>
      <c r="P894" s="174"/>
      <c r="Q894" s="175" t="s">
        <v>109</v>
      </c>
      <c r="R894" s="175"/>
    </row>
    <row r="895" spans="1:34" ht="24.75" x14ac:dyDescent="0.25">
      <c r="A895" s="61" t="s">
        <v>51</v>
      </c>
      <c r="B895" s="1">
        <f>AA889</f>
        <v>1.3060317021926209E-5</v>
      </c>
      <c r="C895" s="59">
        <f>MAX(AC889+1*L882-F889,0)</f>
        <v>0</v>
      </c>
      <c r="D895" s="62" t="s">
        <v>55</v>
      </c>
      <c r="E895" s="1">
        <f>AA889*AA890</f>
        <v>1.9620816302085884E-9</v>
      </c>
      <c r="F895" s="1">
        <f>MAX(AC890+2*L882-F890,0)</f>
        <v>44.333333333333343</v>
      </c>
      <c r="G895" s="62" t="s">
        <v>59</v>
      </c>
      <c r="H895" s="1">
        <f>AA889*AA890*AA891</f>
        <v>8.3988072661793792E-12</v>
      </c>
      <c r="I895" s="1">
        <f>AC891+3*L882-F891</f>
        <v>160.33333333333334</v>
      </c>
      <c r="J895" s="62" t="s">
        <v>83</v>
      </c>
      <c r="K895" s="1">
        <f>AA889*AA890*AA891*AA892</f>
        <v>2.6177058726071488E-14</v>
      </c>
      <c r="L895" s="1">
        <f>AC892+4*L882-F892</f>
        <v>205.33333333333337</v>
      </c>
      <c r="M895" s="1">
        <f>B895*C895*AH889+E895*F895*AH890+H895*I895*AH891+K895*L895*AH892</f>
        <v>5.8824920720297682E-6</v>
      </c>
      <c r="O895" s="1" t="s">
        <v>27</v>
      </c>
      <c r="P895" s="1">
        <f>H880</f>
        <v>1820</v>
      </c>
      <c r="Q895" s="1">
        <f>(K889*(1-P889)*(1-U889)*(1-Z889))+(P889*(1-K889)*(1-U889)*(1-Z889))+(U889*(1-K889)*(1-P889)*(1-Z889))+(Z889*(1-K889)*(1-P889)*(1-U889))</f>
        <v>0.28083409477630866</v>
      </c>
      <c r="R895" s="1">
        <f>Q895*(L$7*(J$5*K$5+L$5)+I$5)</f>
        <v>9897.9976703909997</v>
      </c>
    </row>
    <row r="896" spans="1:34" ht="24.75" x14ac:dyDescent="0.25">
      <c r="A896" s="62" t="s">
        <v>52</v>
      </c>
      <c r="B896" s="1">
        <f>AB889</f>
        <v>0.99998693968297803</v>
      </c>
      <c r="C896" s="59">
        <f>MAX(AC889-F889,0)</f>
        <v>0</v>
      </c>
      <c r="D896" s="62" t="s">
        <v>56</v>
      </c>
      <c r="E896" s="1">
        <f>AA889*AB890+AA890*AB889</f>
        <v>1.6328870551344767E-4</v>
      </c>
      <c r="F896" s="1">
        <f>MAX(AC890+1*L882-F890,0)</f>
        <v>32.333333333333343</v>
      </c>
      <c r="G896" s="62" t="s">
        <v>60</v>
      </c>
      <c r="H896" s="1">
        <f>AA889*AA890*AB891+AA890*AA891*AB889+AA889*AA891*AB890</f>
        <v>7.0092071112419249E-7</v>
      </c>
      <c r="I896" s="1">
        <f>AC891+2*L882-F891</f>
        <v>148.33333333333334</v>
      </c>
      <c r="J896" s="62" t="s">
        <v>59</v>
      </c>
      <c r="K896">
        <f>AB889*AA890*AA891*AA892+AB890*AA889*AA891*AA892*+AB891*AA889*AA890*AA892+AB892*AA889*AA890*AA891</f>
        <v>2.0126667680490616E-9</v>
      </c>
      <c r="L896" s="1">
        <f>AC892+3*L882-F892</f>
        <v>193.33333333333337</v>
      </c>
      <c r="M896" s="1">
        <f>B896*C896*AH889+E896*F896*AH890+H896*I896*AH891+K896*L896*AH892</f>
        <v>0.35793936464323628</v>
      </c>
      <c r="O896" s="1" t="s">
        <v>28</v>
      </c>
      <c r="P896" s="1">
        <f>2*H881</f>
        <v>5440</v>
      </c>
      <c r="Q896" s="1">
        <f t="shared" ref="Q896:Q898" si="94">(K890*(1-P890)*(1-U890)*(1-Z890))+(P890*(1-K890)*(1-U890)*(1-Z890))+(U890*(1-K890)*(1-P890)*(1-Z890))+(Z890*(1-K890)*(1-P890)*(1-U890))</f>
        <v>0.41290502350113689</v>
      </c>
      <c r="R896" s="1">
        <f t="shared" ref="R896:R898" si="95">Q896*(L$7*(J$5*K$5+L$5)+I$5)</f>
        <v>14552.83755329757</v>
      </c>
    </row>
    <row r="897" spans="1:20" ht="24.75" x14ac:dyDescent="0.25">
      <c r="A897" s="1"/>
      <c r="B897" s="1"/>
      <c r="C897" s="1"/>
      <c r="D897" s="62" t="s">
        <v>52</v>
      </c>
      <c r="E897" s="1">
        <f>AB889*AB890</f>
        <v>0.99983670933240487</v>
      </c>
      <c r="F897" s="59">
        <f>MAX(AC890-F890,0)</f>
        <v>20.333333333333343</v>
      </c>
      <c r="G897" s="62" t="s">
        <v>56</v>
      </c>
      <c r="H897" s="1">
        <f>AA889*AB890*AB891+AA890*AB889*AB891*+AA891*AB889*AB890</f>
        <v>1.3642670579518113E-5</v>
      </c>
      <c r="I897" s="1">
        <f>AC891+1*L882-F891</f>
        <v>136.33333333333334</v>
      </c>
      <c r="J897" s="62" t="s">
        <v>60</v>
      </c>
      <c r="K897" s="1">
        <f>AA889*AA890*AB891*AB892 + AA889*AA891*AB890*AB892 + AA889*AA892*AB890*AB891 + AA890*AA891*AB889*AB892 + AA890*AA892*AB889*AB891 + AA891*AA892*AB889*AB890</f>
        <v>1.4544783427165763E-5</v>
      </c>
      <c r="L897" s="1">
        <f>AC892+2*L882-F892</f>
        <v>181.33333333333337</v>
      </c>
      <c r="M897" s="1">
        <f>B897*C897*AH889+E897*F897*AH890+H897*I897*AH891+K897*L897*AH892</f>
        <v>1362.4753949908343</v>
      </c>
      <c r="O897" s="1" t="s">
        <v>29</v>
      </c>
      <c r="P897" s="1">
        <f>2*(F882*(J880*K880+L880)+H882)</f>
        <v>28200</v>
      </c>
      <c r="Q897" s="1">
        <f t="shared" si="94"/>
        <v>0.44801053117837847</v>
      </c>
      <c r="R897" s="1">
        <f t="shared" si="95"/>
        <v>15790.131171381949</v>
      </c>
    </row>
    <row r="898" spans="1:20" ht="24.75" x14ac:dyDescent="0.25">
      <c r="A898" s="1"/>
      <c r="B898" s="1"/>
      <c r="C898" s="1"/>
      <c r="D898" s="1"/>
      <c r="E898" s="1"/>
      <c r="F898" s="1"/>
      <c r="G898" s="62" t="s">
        <v>52</v>
      </c>
      <c r="H898" s="1">
        <f>AB889*AB890*AB891</f>
        <v>0.99555684875471773</v>
      </c>
      <c r="I898" s="63">
        <f>AC891-F891</f>
        <v>124.33333333333334</v>
      </c>
      <c r="J898" s="62" t="s">
        <v>56</v>
      </c>
      <c r="K898" s="1">
        <f>AA889*AB890*AB891*AB892+AA890*AB889*AB891*AB892+AA891*AB889*AB890*AB892+AA892*AB889*AB890*AB891</f>
        <v>7.5315151071521941E-3</v>
      </c>
      <c r="L898" s="1">
        <f>AC892+1*L882-F892</f>
        <v>169.33333333333337</v>
      </c>
      <c r="M898" s="1">
        <f>B898*C898*AH889+E898*F898*AH890+H898*I898*AH891+K898*L898*AH892</f>
        <v>5091.5230825360186</v>
      </c>
      <c r="O898" s="1" t="s">
        <v>30</v>
      </c>
      <c r="P898" s="1">
        <v>0</v>
      </c>
      <c r="Q898" s="1">
        <f t="shared" si="94"/>
        <v>0.46915599365189731</v>
      </c>
      <c r="R898" s="1">
        <f t="shared" si="95"/>
        <v>16535.40299626112</v>
      </c>
    </row>
    <row r="899" spans="1:20" ht="30" x14ac:dyDescent="0.25">
      <c r="I899" s="84"/>
      <c r="J899" s="62" t="s">
        <v>52</v>
      </c>
      <c r="K899" s="85">
        <f>AB889*AB890*AB891*AB892</f>
        <v>0.99245393791642078</v>
      </c>
      <c r="L899" s="1">
        <f>AC892+0*L882-F892</f>
        <v>157.33333333333337</v>
      </c>
      <c r="M899" s="1">
        <f>B899*C899*AH889+E899*F899*AH890+H899*I899*AH891+K899*L899*AH892</f>
        <v>17176.069485540193</v>
      </c>
      <c r="O899" s="64" t="s">
        <v>65</v>
      </c>
      <c r="P899" s="65">
        <f>SUM(P895:P898)</f>
        <v>35460</v>
      </c>
      <c r="Q899" s="96" t="s">
        <v>108</v>
      </c>
      <c r="R899" s="97">
        <f>SUM(R895:R898)</f>
        <v>56776.369391331638</v>
      </c>
    </row>
    <row r="900" spans="1:20" x14ac:dyDescent="0.25">
      <c r="L900" s="176" t="s">
        <v>63</v>
      </c>
      <c r="M900" s="177">
        <f>SUM(M895:M899)</f>
        <v>23630.425908314181</v>
      </c>
    </row>
    <row r="901" spans="1:20" x14ac:dyDescent="0.25">
      <c r="L901" s="176"/>
      <c r="M901" s="177"/>
    </row>
    <row r="902" spans="1:20" x14ac:dyDescent="0.25">
      <c r="A902" s="178" t="s">
        <v>90</v>
      </c>
      <c r="B902" s="178"/>
      <c r="C902" s="178"/>
      <c r="D902" s="178"/>
      <c r="E902" s="178"/>
      <c r="F902" s="178"/>
      <c r="G902" s="178"/>
      <c r="H902" s="178"/>
      <c r="I902" s="178"/>
      <c r="J902" s="178"/>
      <c r="K902" s="178"/>
      <c r="L902" s="178"/>
      <c r="M902" s="178"/>
      <c r="N902" s="178"/>
    </row>
    <row r="903" spans="1:20" ht="15.75" x14ac:dyDescent="0.25">
      <c r="A903" s="87" t="s">
        <v>86</v>
      </c>
      <c r="B903" s="62" t="s">
        <v>49</v>
      </c>
      <c r="C903" s="90" t="s">
        <v>103</v>
      </c>
      <c r="D903" s="62" t="s">
        <v>88</v>
      </c>
      <c r="E903" s="87" t="s">
        <v>75</v>
      </c>
      <c r="F903" s="62" t="s">
        <v>57</v>
      </c>
      <c r="G903" s="90" t="s">
        <v>87</v>
      </c>
      <c r="H903" s="62" t="s">
        <v>88</v>
      </c>
      <c r="I903" s="87" t="s">
        <v>76</v>
      </c>
      <c r="J903" s="62" t="s">
        <v>61</v>
      </c>
      <c r="K903" s="90" t="s">
        <v>102</v>
      </c>
      <c r="L903" s="62" t="s">
        <v>88</v>
      </c>
      <c r="M903" s="87" t="s">
        <v>77</v>
      </c>
      <c r="N903" s="62" t="s">
        <v>84</v>
      </c>
      <c r="O903" s="90" t="s">
        <v>78</v>
      </c>
      <c r="P903" s="62" t="s">
        <v>88</v>
      </c>
    </row>
    <row r="904" spans="1:20" ht="24.75" x14ac:dyDescent="0.25">
      <c r="A904" s="62" t="s">
        <v>51</v>
      </c>
      <c r="B904" s="86">
        <v>1.3060317021926209E-5</v>
      </c>
      <c r="C904" s="86">
        <f>AC889+1*L882</f>
        <v>81.666666666666671</v>
      </c>
      <c r="D904" s="86">
        <f>MAX(B904*1.5*((C904-F889)*500/2),0)</f>
        <v>0</v>
      </c>
      <c r="E904" s="62" t="s">
        <v>55</v>
      </c>
      <c r="F904" s="86">
        <v>1.9620816302085884E-9</v>
      </c>
      <c r="G904" s="86">
        <f>AC890+2*L882</f>
        <v>139.33333333333334</v>
      </c>
      <c r="H904" s="86">
        <f>F904*1.5*((G904-F890)*500/2+(G904-F891)*500+(G904-F892)*500)</f>
        <v>1.7487052529234045E-4</v>
      </c>
      <c r="I904" s="62" t="s">
        <v>59</v>
      </c>
      <c r="J904" s="86">
        <v>8.3988072661793792E-12</v>
      </c>
      <c r="K904" s="86">
        <f>AC891+3*L882</f>
        <v>236.33333333333334</v>
      </c>
      <c r="L904" s="86">
        <f>J904*1.5*((K904-G904)*500/2+(K904-G904)*500)</f>
        <v>9.165198429218247E-7</v>
      </c>
      <c r="M904" s="62" t="s">
        <v>83</v>
      </c>
      <c r="N904" s="86">
        <v>2.6177058726071488E-14</v>
      </c>
      <c r="O904" s="86">
        <f>AC892+4*L882</f>
        <v>311.33333333333337</v>
      </c>
      <c r="P904" s="86">
        <f>N904*1.5*((O904-K904)*500/2)</f>
        <v>7.3622977667076089E-10</v>
      </c>
    </row>
    <row r="905" spans="1:20" ht="24.75" x14ac:dyDescent="0.25">
      <c r="A905" s="62" t="s">
        <v>52</v>
      </c>
      <c r="B905" s="86">
        <v>0.99998693968297803</v>
      </c>
      <c r="C905" s="88">
        <f>AC889</f>
        <v>69.666666666666671</v>
      </c>
      <c r="D905" s="86">
        <f>MAX(B905*1.5*((C905-F889)*500/2),0)</f>
        <v>0</v>
      </c>
      <c r="E905" s="62" t="s">
        <v>56</v>
      </c>
      <c r="F905" s="86">
        <v>1.6328870551344767E-4</v>
      </c>
      <c r="G905" s="86">
        <f>AC890+1*L882</f>
        <v>127.33333333333334</v>
      </c>
      <c r="H905" s="86">
        <f>F905*1.5*((G905-F890)*500/2+(G905-F891)*500+(G905-F892)*500)</f>
        <v>10.879110004833453</v>
      </c>
      <c r="I905" s="62" t="s">
        <v>60</v>
      </c>
      <c r="J905" s="86">
        <v>7.0092071112419249E-7</v>
      </c>
      <c r="K905" s="86">
        <f>AC891+2*L882</f>
        <v>224.33333333333334</v>
      </c>
      <c r="L905" s="86">
        <f>J905*1.5*((K905-G905)*500/2+(K905-G905)*500)</f>
        <v>7.6487972601427506E-2</v>
      </c>
      <c r="M905" s="62" t="s">
        <v>59</v>
      </c>
      <c r="N905" s="86">
        <v>2.0126667680490616E-9</v>
      </c>
      <c r="O905" s="86">
        <f>AC892+3*L882</f>
        <v>299.33333333333337</v>
      </c>
      <c r="P905" s="86">
        <f>N905*1.5*((O905-K905)*500/2)</f>
        <v>5.6606252851379882E-5</v>
      </c>
    </row>
    <row r="906" spans="1:20" x14ac:dyDescent="0.25">
      <c r="A906" s="86"/>
      <c r="B906" s="86"/>
      <c r="C906" s="89" t="s">
        <v>89</v>
      </c>
      <c r="D906" s="89">
        <f>SUM(D904:D905)</f>
        <v>0</v>
      </c>
      <c r="E906" s="62" t="s">
        <v>52</v>
      </c>
      <c r="F906" s="86">
        <v>0.99983670933240487</v>
      </c>
      <c r="G906" s="86">
        <f>AC890+0*L882</f>
        <v>115.33333333333334</v>
      </c>
      <c r="H906" s="86">
        <f>F906*1.5*((G906-F890)*500/2+(G906-F891)*500+(G906-F892)*500)</f>
        <v>44117.79479929238</v>
      </c>
      <c r="I906" s="62" t="s">
        <v>56</v>
      </c>
      <c r="J906" s="86">
        <v>1.3642670579518113E-5</v>
      </c>
      <c r="K906" s="86">
        <f>AC891+1*L882</f>
        <v>212.33333333333334</v>
      </c>
      <c r="L906" s="86">
        <f>J906*1.5*((K906-G906)*500/2+(K906-G906)*500)</f>
        <v>1.4887564269899141</v>
      </c>
      <c r="M906" s="62" t="s">
        <v>60</v>
      </c>
      <c r="N906" s="86">
        <v>1.4544783427165763E-5</v>
      </c>
      <c r="O906" s="86">
        <f>AC892+2*L882</f>
        <v>287.33333333333337</v>
      </c>
      <c r="P906" s="86">
        <f>N906*1.5*((O906-K906)*500/2)</f>
        <v>0.40907203388903723</v>
      </c>
    </row>
    <row r="907" spans="1:20" x14ac:dyDescent="0.25">
      <c r="A907" s="86"/>
      <c r="B907" s="86"/>
      <c r="C907" s="86"/>
      <c r="D907" s="86"/>
      <c r="E907" s="86"/>
      <c r="F907" s="86"/>
      <c r="G907" s="89" t="s">
        <v>79</v>
      </c>
      <c r="H907" s="89">
        <f>SUM(H904:H906)</f>
        <v>44128.674084167738</v>
      </c>
      <c r="I907" s="62" t="s">
        <v>52</v>
      </c>
      <c r="J907" s="86">
        <v>0.99555684875471773</v>
      </c>
      <c r="K907" s="86">
        <f>AC891+0*L882</f>
        <v>200.33333333333334</v>
      </c>
      <c r="L907" s="86">
        <f>J907*1.5*((K907-G906)*500/2+(K907-G906)*500)</f>
        <v>95200.123662169877</v>
      </c>
      <c r="M907" s="62" t="s">
        <v>56</v>
      </c>
      <c r="N907" s="86">
        <v>7.5315151071521941E-3</v>
      </c>
      <c r="O907" s="86">
        <f>AC892+1*L882</f>
        <v>275.33333333333337</v>
      </c>
      <c r="P907" s="86">
        <f>N907*1.5*((O907-K907)*500/2)</f>
        <v>211.82386238865556</v>
      </c>
    </row>
    <row r="908" spans="1:20" x14ac:dyDescent="0.25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9" t="s">
        <v>79</v>
      </c>
      <c r="L908" s="89">
        <f>SUM(L904:L907)</f>
        <v>95201.688907485994</v>
      </c>
      <c r="M908" s="62" t="s">
        <v>52</v>
      </c>
      <c r="N908" s="86">
        <v>0.99245393791642078</v>
      </c>
      <c r="O908" s="86">
        <f>AC892+0*L882</f>
        <v>263.33333333333337</v>
      </c>
      <c r="P908" s="86">
        <f>N908*1.5*((O908-K907)*500/2)</f>
        <v>23446.724283275453</v>
      </c>
      <c r="Q908" s="179" t="s">
        <v>80</v>
      </c>
      <c r="R908" s="179"/>
      <c r="S908" s="180">
        <f>D906+H907+L908+P909</f>
        <v>162989.32026595873</v>
      </c>
      <c r="T908" s="180"/>
    </row>
    <row r="909" spans="1:20" x14ac:dyDescent="0.25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9" t="s">
        <v>79</v>
      </c>
      <c r="P909" s="89">
        <f>SUM(P904:P908)</f>
        <v>23658.957274304987</v>
      </c>
      <c r="Q909" s="179"/>
      <c r="R909" s="179"/>
      <c r="S909" s="180"/>
      <c r="T909" s="180"/>
    </row>
    <row r="910" spans="1:20" x14ac:dyDescent="0.25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</row>
    <row r="911" spans="1:20" x14ac:dyDescent="0.25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</row>
    <row r="912" spans="1:20" x14ac:dyDescent="0.25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</row>
    <row r="913" spans="15:18" ht="24" x14ac:dyDescent="0.25">
      <c r="O913" s="131" t="s">
        <v>81</v>
      </c>
      <c r="P913" s="131"/>
      <c r="Q913" s="131">
        <f>(R899+P899+M900+S908)/AC892</f>
        <v>1058.9472742997639</v>
      </c>
      <c r="R913" s="131"/>
    </row>
  </sheetData>
  <mergeCells count="792">
    <mergeCell ref="L900:L901"/>
    <mergeCell ref="M900:M901"/>
    <mergeCell ref="A902:N902"/>
    <mergeCell ref="Q908:R909"/>
    <mergeCell ref="S908:T909"/>
    <mergeCell ref="O913:P913"/>
    <mergeCell ref="Q913:R913"/>
    <mergeCell ref="AA887:AB887"/>
    <mergeCell ref="AC887:AC888"/>
    <mergeCell ref="AD887:AG887"/>
    <mergeCell ref="AH887:AH888"/>
    <mergeCell ref="A893:J893"/>
    <mergeCell ref="O894:P894"/>
    <mergeCell ref="Q894:R894"/>
    <mergeCell ref="A885:A887"/>
    <mergeCell ref="B885:E887"/>
    <mergeCell ref="G887:K887"/>
    <mergeCell ref="L887:P887"/>
    <mergeCell ref="Q887:U887"/>
    <mergeCell ref="V887:Z887"/>
    <mergeCell ref="O879:O880"/>
    <mergeCell ref="P879:P880"/>
    <mergeCell ref="Q879:Q880"/>
    <mergeCell ref="T879:T880"/>
    <mergeCell ref="G880:G883"/>
    <mergeCell ref="I880:I883"/>
    <mergeCell ref="K882:K883"/>
    <mergeCell ref="L882:L883"/>
    <mergeCell ref="M882:M883"/>
    <mergeCell ref="N882:N883"/>
    <mergeCell ref="O875:P875"/>
    <mergeCell ref="Q875:R875"/>
    <mergeCell ref="A876:B877"/>
    <mergeCell ref="A878:M878"/>
    <mergeCell ref="O878:V878"/>
    <mergeCell ref="A855:J855"/>
    <mergeCell ref="O856:P856"/>
    <mergeCell ref="Q856:R856"/>
    <mergeCell ref="L862:L863"/>
    <mergeCell ref="M862:M863"/>
    <mergeCell ref="A864:N864"/>
    <mergeCell ref="AA849:AB849"/>
    <mergeCell ref="AC849:AC850"/>
    <mergeCell ref="AD849:AG849"/>
    <mergeCell ref="AH849:AH850"/>
    <mergeCell ref="L844:L845"/>
    <mergeCell ref="M844:M845"/>
    <mergeCell ref="N844:N845"/>
    <mergeCell ref="Q870:R871"/>
    <mergeCell ref="S870:T871"/>
    <mergeCell ref="A847:A849"/>
    <mergeCell ref="B847:E849"/>
    <mergeCell ref="G849:K849"/>
    <mergeCell ref="L849:P849"/>
    <mergeCell ref="A838:B839"/>
    <mergeCell ref="A840:M840"/>
    <mergeCell ref="O840:V840"/>
    <mergeCell ref="O841:O842"/>
    <mergeCell ref="P841:P842"/>
    <mergeCell ref="Q841:Q842"/>
    <mergeCell ref="T841:T842"/>
    <mergeCell ref="G842:G845"/>
    <mergeCell ref="I842:I845"/>
    <mergeCell ref="K844:K845"/>
    <mergeCell ref="Q849:U849"/>
    <mergeCell ref="V849:Z849"/>
    <mergeCell ref="L824:L825"/>
    <mergeCell ref="M824:M825"/>
    <mergeCell ref="A826:N826"/>
    <mergeCell ref="Q832:R833"/>
    <mergeCell ref="S832:T833"/>
    <mergeCell ref="O837:P837"/>
    <mergeCell ref="Q837:R837"/>
    <mergeCell ref="AA811:AB811"/>
    <mergeCell ref="AC811:AC812"/>
    <mergeCell ref="AD811:AG811"/>
    <mergeCell ref="AH811:AH812"/>
    <mergeCell ref="A817:J817"/>
    <mergeCell ref="O818:P818"/>
    <mergeCell ref="Q818:R818"/>
    <mergeCell ref="A809:A811"/>
    <mergeCell ref="B809:E811"/>
    <mergeCell ref="G811:K811"/>
    <mergeCell ref="L811:P811"/>
    <mergeCell ref="Q811:U811"/>
    <mergeCell ref="V811:Z811"/>
    <mergeCell ref="O803:O804"/>
    <mergeCell ref="P803:P804"/>
    <mergeCell ref="Q803:Q804"/>
    <mergeCell ref="T803:T804"/>
    <mergeCell ref="G804:G807"/>
    <mergeCell ref="I804:I807"/>
    <mergeCell ref="K806:K807"/>
    <mergeCell ref="L806:L807"/>
    <mergeCell ref="M806:M807"/>
    <mergeCell ref="N806:N807"/>
    <mergeCell ref="O799:P799"/>
    <mergeCell ref="Q799:R799"/>
    <mergeCell ref="A800:B801"/>
    <mergeCell ref="A802:M802"/>
    <mergeCell ref="O802:V802"/>
    <mergeCell ref="A779:J779"/>
    <mergeCell ref="O780:P780"/>
    <mergeCell ref="Q780:R780"/>
    <mergeCell ref="L786:L787"/>
    <mergeCell ref="M786:M787"/>
    <mergeCell ref="A788:N788"/>
    <mergeCell ref="AA773:AB773"/>
    <mergeCell ref="AC773:AC774"/>
    <mergeCell ref="AD773:AG773"/>
    <mergeCell ref="AH773:AH774"/>
    <mergeCell ref="L768:L769"/>
    <mergeCell ref="M768:M769"/>
    <mergeCell ref="N768:N769"/>
    <mergeCell ref="Q794:R795"/>
    <mergeCell ref="S794:T795"/>
    <mergeCell ref="A771:A773"/>
    <mergeCell ref="B771:E773"/>
    <mergeCell ref="G773:K773"/>
    <mergeCell ref="L773:P773"/>
    <mergeCell ref="A762:B763"/>
    <mergeCell ref="A764:M764"/>
    <mergeCell ref="O764:V764"/>
    <mergeCell ref="O765:O766"/>
    <mergeCell ref="P765:P766"/>
    <mergeCell ref="Q765:Q766"/>
    <mergeCell ref="T765:T766"/>
    <mergeCell ref="G766:G769"/>
    <mergeCell ref="I766:I769"/>
    <mergeCell ref="K768:K769"/>
    <mergeCell ref="Q773:U773"/>
    <mergeCell ref="V773:Z773"/>
    <mergeCell ref="L748:L749"/>
    <mergeCell ref="M748:M749"/>
    <mergeCell ref="A750:N750"/>
    <mergeCell ref="Q756:R757"/>
    <mergeCell ref="S756:T757"/>
    <mergeCell ref="O761:P761"/>
    <mergeCell ref="Q761:R761"/>
    <mergeCell ref="AA735:AB735"/>
    <mergeCell ref="AC735:AC736"/>
    <mergeCell ref="AD735:AG735"/>
    <mergeCell ref="AH735:AH736"/>
    <mergeCell ref="A741:J741"/>
    <mergeCell ref="O742:P742"/>
    <mergeCell ref="Q742:R742"/>
    <mergeCell ref="A733:A735"/>
    <mergeCell ref="B733:E735"/>
    <mergeCell ref="G735:K735"/>
    <mergeCell ref="L735:P735"/>
    <mergeCell ref="Q735:U735"/>
    <mergeCell ref="V735:Z735"/>
    <mergeCell ref="O727:O728"/>
    <mergeCell ref="P727:P728"/>
    <mergeCell ref="Q727:Q728"/>
    <mergeCell ref="T727:T728"/>
    <mergeCell ref="G728:G731"/>
    <mergeCell ref="I728:I731"/>
    <mergeCell ref="K730:K731"/>
    <mergeCell ref="L730:L731"/>
    <mergeCell ref="M730:M731"/>
    <mergeCell ref="N730:N731"/>
    <mergeCell ref="O723:P723"/>
    <mergeCell ref="Q723:R723"/>
    <mergeCell ref="A724:B725"/>
    <mergeCell ref="A726:M726"/>
    <mergeCell ref="O726:V726"/>
    <mergeCell ref="A703:J703"/>
    <mergeCell ref="O704:P704"/>
    <mergeCell ref="Q704:R704"/>
    <mergeCell ref="L710:L711"/>
    <mergeCell ref="M710:M711"/>
    <mergeCell ref="A712:N712"/>
    <mergeCell ref="AA697:AB697"/>
    <mergeCell ref="AC697:AC698"/>
    <mergeCell ref="AD697:AG697"/>
    <mergeCell ref="AH697:AH698"/>
    <mergeCell ref="L692:L693"/>
    <mergeCell ref="M692:M693"/>
    <mergeCell ref="N692:N693"/>
    <mergeCell ref="Q718:R719"/>
    <mergeCell ref="S718:T719"/>
    <mergeCell ref="A695:A697"/>
    <mergeCell ref="B695:E697"/>
    <mergeCell ref="G697:K697"/>
    <mergeCell ref="L697:P697"/>
    <mergeCell ref="A686:B687"/>
    <mergeCell ref="A688:M688"/>
    <mergeCell ref="O688:V688"/>
    <mergeCell ref="O689:O690"/>
    <mergeCell ref="P689:P690"/>
    <mergeCell ref="Q689:Q690"/>
    <mergeCell ref="T689:T690"/>
    <mergeCell ref="G690:G693"/>
    <mergeCell ref="I690:I693"/>
    <mergeCell ref="K692:K693"/>
    <mergeCell ref="Q697:U697"/>
    <mergeCell ref="V697:Z697"/>
    <mergeCell ref="L672:L673"/>
    <mergeCell ref="M672:M673"/>
    <mergeCell ref="A674:N674"/>
    <mergeCell ref="Q680:R681"/>
    <mergeCell ref="S680:T681"/>
    <mergeCell ref="O685:P685"/>
    <mergeCell ref="Q685:R685"/>
    <mergeCell ref="AA659:AB659"/>
    <mergeCell ref="AC659:AC660"/>
    <mergeCell ref="AD659:AG659"/>
    <mergeCell ref="AH659:AH660"/>
    <mergeCell ref="A665:J665"/>
    <mergeCell ref="O666:P666"/>
    <mergeCell ref="Q666:R666"/>
    <mergeCell ref="A657:A659"/>
    <mergeCell ref="B657:E659"/>
    <mergeCell ref="G659:K659"/>
    <mergeCell ref="L659:P659"/>
    <mergeCell ref="Q659:U659"/>
    <mergeCell ref="V659:Z659"/>
    <mergeCell ref="O651:O652"/>
    <mergeCell ref="P651:P652"/>
    <mergeCell ref="Q651:Q652"/>
    <mergeCell ref="T651:T652"/>
    <mergeCell ref="G652:G655"/>
    <mergeCell ref="I652:I655"/>
    <mergeCell ref="K654:K655"/>
    <mergeCell ref="L654:L655"/>
    <mergeCell ref="M654:M655"/>
    <mergeCell ref="N654:N655"/>
    <mergeCell ref="O647:P647"/>
    <mergeCell ref="Q647:R647"/>
    <mergeCell ref="A648:B649"/>
    <mergeCell ref="A650:M650"/>
    <mergeCell ref="O650:V650"/>
    <mergeCell ref="A627:J627"/>
    <mergeCell ref="O628:P628"/>
    <mergeCell ref="Q628:R628"/>
    <mergeCell ref="L634:L635"/>
    <mergeCell ref="M634:M635"/>
    <mergeCell ref="A636:N636"/>
    <mergeCell ref="AA621:AB621"/>
    <mergeCell ref="AC621:AC622"/>
    <mergeCell ref="AD621:AG621"/>
    <mergeCell ref="AH621:AH622"/>
    <mergeCell ref="L616:L617"/>
    <mergeCell ref="M616:M617"/>
    <mergeCell ref="N616:N617"/>
    <mergeCell ref="Q642:R643"/>
    <mergeCell ref="S642:T643"/>
    <mergeCell ref="A619:A621"/>
    <mergeCell ref="B619:E621"/>
    <mergeCell ref="G621:K621"/>
    <mergeCell ref="L621:P621"/>
    <mergeCell ref="A610:B611"/>
    <mergeCell ref="A612:M612"/>
    <mergeCell ref="O612:V612"/>
    <mergeCell ref="O613:O614"/>
    <mergeCell ref="P613:P614"/>
    <mergeCell ref="Q613:Q614"/>
    <mergeCell ref="T613:T614"/>
    <mergeCell ref="G614:G617"/>
    <mergeCell ref="I614:I617"/>
    <mergeCell ref="K616:K617"/>
    <mergeCell ref="Q621:U621"/>
    <mergeCell ref="V621:Z621"/>
    <mergeCell ref="L596:L597"/>
    <mergeCell ref="M596:M597"/>
    <mergeCell ref="A598:N598"/>
    <mergeCell ref="Q604:R605"/>
    <mergeCell ref="S604:T605"/>
    <mergeCell ref="O609:P609"/>
    <mergeCell ref="Q609:R609"/>
    <mergeCell ref="AA583:AB583"/>
    <mergeCell ref="AC583:AC584"/>
    <mergeCell ref="AD583:AG583"/>
    <mergeCell ref="AH583:AH584"/>
    <mergeCell ref="A589:J589"/>
    <mergeCell ref="O590:P590"/>
    <mergeCell ref="Q590:R590"/>
    <mergeCell ref="A581:A583"/>
    <mergeCell ref="B581:E583"/>
    <mergeCell ref="G583:K583"/>
    <mergeCell ref="L583:P583"/>
    <mergeCell ref="Q583:U583"/>
    <mergeCell ref="V583:Z583"/>
    <mergeCell ref="O575:O576"/>
    <mergeCell ref="P575:P576"/>
    <mergeCell ref="Q575:Q576"/>
    <mergeCell ref="T575:T576"/>
    <mergeCell ref="G576:G579"/>
    <mergeCell ref="I576:I579"/>
    <mergeCell ref="K578:K579"/>
    <mergeCell ref="L578:L579"/>
    <mergeCell ref="M578:M579"/>
    <mergeCell ref="N578:N579"/>
    <mergeCell ref="O571:P571"/>
    <mergeCell ref="Q571:R571"/>
    <mergeCell ref="A572:B573"/>
    <mergeCell ref="A574:M574"/>
    <mergeCell ref="O574:V574"/>
    <mergeCell ref="A551:J551"/>
    <mergeCell ref="O552:P552"/>
    <mergeCell ref="Q552:R552"/>
    <mergeCell ref="L558:L559"/>
    <mergeCell ref="M558:M559"/>
    <mergeCell ref="A560:N560"/>
    <mergeCell ref="AA545:AB545"/>
    <mergeCell ref="AC545:AC546"/>
    <mergeCell ref="AD545:AG545"/>
    <mergeCell ref="AH545:AH546"/>
    <mergeCell ref="L540:L541"/>
    <mergeCell ref="M540:M541"/>
    <mergeCell ref="N540:N541"/>
    <mergeCell ref="Q566:R567"/>
    <mergeCell ref="S566:T567"/>
    <mergeCell ref="A543:A545"/>
    <mergeCell ref="B543:E545"/>
    <mergeCell ref="G545:K545"/>
    <mergeCell ref="L545:P545"/>
    <mergeCell ref="A534:B535"/>
    <mergeCell ref="A536:M536"/>
    <mergeCell ref="O536:V536"/>
    <mergeCell ref="O537:O538"/>
    <mergeCell ref="P537:P538"/>
    <mergeCell ref="Q537:Q538"/>
    <mergeCell ref="T537:T538"/>
    <mergeCell ref="G538:G541"/>
    <mergeCell ref="I538:I541"/>
    <mergeCell ref="K540:K541"/>
    <mergeCell ref="Q545:U545"/>
    <mergeCell ref="V545:Z545"/>
    <mergeCell ref="L520:L521"/>
    <mergeCell ref="M520:M521"/>
    <mergeCell ref="A522:N522"/>
    <mergeCell ref="Q528:R529"/>
    <mergeCell ref="S528:T529"/>
    <mergeCell ref="O533:P533"/>
    <mergeCell ref="Q533:R533"/>
    <mergeCell ref="AA507:AB507"/>
    <mergeCell ref="AC507:AC508"/>
    <mergeCell ref="AD507:AG507"/>
    <mergeCell ref="AH507:AH508"/>
    <mergeCell ref="A513:J513"/>
    <mergeCell ref="O514:P514"/>
    <mergeCell ref="Q514:R514"/>
    <mergeCell ref="A505:A507"/>
    <mergeCell ref="B505:E507"/>
    <mergeCell ref="G507:K507"/>
    <mergeCell ref="L507:P507"/>
    <mergeCell ref="Q507:U507"/>
    <mergeCell ref="V507:Z507"/>
    <mergeCell ref="O499:O500"/>
    <mergeCell ref="P499:P500"/>
    <mergeCell ref="Q499:Q500"/>
    <mergeCell ref="T499:T500"/>
    <mergeCell ref="G500:G503"/>
    <mergeCell ref="I500:I503"/>
    <mergeCell ref="K502:K503"/>
    <mergeCell ref="L502:L503"/>
    <mergeCell ref="M502:M503"/>
    <mergeCell ref="N502:N503"/>
    <mergeCell ref="O495:P495"/>
    <mergeCell ref="Q495:R495"/>
    <mergeCell ref="A496:B497"/>
    <mergeCell ref="A498:M498"/>
    <mergeCell ref="O498:V498"/>
    <mergeCell ref="A475:J475"/>
    <mergeCell ref="O476:P476"/>
    <mergeCell ref="Q476:R476"/>
    <mergeCell ref="L482:L483"/>
    <mergeCell ref="M482:M483"/>
    <mergeCell ref="A484:N484"/>
    <mergeCell ref="AA469:AB469"/>
    <mergeCell ref="AC469:AC470"/>
    <mergeCell ref="AD469:AG469"/>
    <mergeCell ref="AH469:AH470"/>
    <mergeCell ref="L464:L465"/>
    <mergeCell ref="M464:M465"/>
    <mergeCell ref="N464:N465"/>
    <mergeCell ref="Q490:R491"/>
    <mergeCell ref="S490:T491"/>
    <mergeCell ref="A467:A469"/>
    <mergeCell ref="B467:E469"/>
    <mergeCell ref="G469:K469"/>
    <mergeCell ref="L469:P469"/>
    <mergeCell ref="A458:B459"/>
    <mergeCell ref="A460:M460"/>
    <mergeCell ref="O460:V460"/>
    <mergeCell ref="O461:O462"/>
    <mergeCell ref="P461:P462"/>
    <mergeCell ref="Q461:Q462"/>
    <mergeCell ref="T461:T462"/>
    <mergeCell ref="G462:G465"/>
    <mergeCell ref="I462:I465"/>
    <mergeCell ref="K464:K465"/>
    <mergeCell ref="Q469:U469"/>
    <mergeCell ref="V469:Z469"/>
    <mergeCell ref="L444:L445"/>
    <mergeCell ref="M444:M445"/>
    <mergeCell ref="A446:N446"/>
    <mergeCell ref="Q452:R453"/>
    <mergeCell ref="S452:T453"/>
    <mergeCell ref="O457:P457"/>
    <mergeCell ref="Q457:R457"/>
    <mergeCell ref="AA431:AB431"/>
    <mergeCell ref="AC431:AC432"/>
    <mergeCell ref="AD431:AG431"/>
    <mergeCell ref="AH431:AH432"/>
    <mergeCell ref="A437:J437"/>
    <mergeCell ref="O438:P438"/>
    <mergeCell ref="Q438:R438"/>
    <mergeCell ref="A429:A431"/>
    <mergeCell ref="B429:E431"/>
    <mergeCell ref="G431:K431"/>
    <mergeCell ref="L431:P431"/>
    <mergeCell ref="Q431:U431"/>
    <mergeCell ref="V431:Z431"/>
    <mergeCell ref="O423:O424"/>
    <mergeCell ref="P423:P424"/>
    <mergeCell ref="Q423:Q424"/>
    <mergeCell ref="T423:T424"/>
    <mergeCell ref="G424:G427"/>
    <mergeCell ref="I424:I427"/>
    <mergeCell ref="K426:K427"/>
    <mergeCell ref="L426:L427"/>
    <mergeCell ref="M426:M427"/>
    <mergeCell ref="N426:N427"/>
    <mergeCell ref="O419:P419"/>
    <mergeCell ref="Q419:R419"/>
    <mergeCell ref="A420:B421"/>
    <mergeCell ref="A422:M422"/>
    <mergeCell ref="O422:V422"/>
    <mergeCell ref="A399:J399"/>
    <mergeCell ref="O400:P400"/>
    <mergeCell ref="Q400:R400"/>
    <mergeCell ref="L406:L407"/>
    <mergeCell ref="M406:M407"/>
    <mergeCell ref="A408:N408"/>
    <mergeCell ref="AA393:AB393"/>
    <mergeCell ref="AC393:AC394"/>
    <mergeCell ref="AD393:AG393"/>
    <mergeCell ref="AH393:AH394"/>
    <mergeCell ref="L388:L389"/>
    <mergeCell ref="M388:M389"/>
    <mergeCell ref="N388:N389"/>
    <mergeCell ref="Q414:R415"/>
    <mergeCell ref="S414:T415"/>
    <mergeCell ref="A391:A393"/>
    <mergeCell ref="B391:E393"/>
    <mergeCell ref="G393:K393"/>
    <mergeCell ref="L393:P393"/>
    <mergeCell ref="A382:B383"/>
    <mergeCell ref="A384:M384"/>
    <mergeCell ref="O384:V384"/>
    <mergeCell ref="O385:O386"/>
    <mergeCell ref="P385:P386"/>
    <mergeCell ref="Q385:Q386"/>
    <mergeCell ref="T385:T386"/>
    <mergeCell ref="G386:G389"/>
    <mergeCell ref="I386:I389"/>
    <mergeCell ref="K388:K389"/>
    <mergeCell ref="Q393:U393"/>
    <mergeCell ref="V393:Z393"/>
    <mergeCell ref="L368:L369"/>
    <mergeCell ref="M368:M369"/>
    <mergeCell ref="A370:N370"/>
    <mergeCell ref="Q376:R377"/>
    <mergeCell ref="S376:T377"/>
    <mergeCell ref="O381:P381"/>
    <mergeCell ref="Q381:R381"/>
    <mergeCell ref="AA355:AB355"/>
    <mergeCell ref="AC355:AC356"/>
    <mergeCell ref="AD355:AG355"/>
    <mergeCell ref="AH355:AH356"/>
    <mergeCell ref="A361:J361"/>
    <mergeCell ref="O362:P362"/>
    <mergeCell ref="Q362:R362"/>
    <mergeCell ref="A353:A355"/>
    <mergeCell ref="B353:E355"/>
    <mergeCell ref="G355:K355"/>
    <mergeCell ref="L355:P355"/>
    <mergeCell ref="Q355:U355"/>
    <mergeCell ref="V355:Z355"/>
    <mergeCell ref="O347:O348"/>
    <mergeCell ref="P347:P348"/>
    <mergeCell ref="Q347:Q348"/>
    <mergeCell ref="T347:T348"/>
    <mergeCell ref="G348:G351"/>
    <mergeCell ref="I348:I351"/>
    <mergeCell ref="K350:K351"/>
    <mergeCell ref="L350:L351"/>
    <mergeCell ref="M350:M351"/>
    <mergeCell ref="N350:N351"/>
    <mergeCell ref="O343:P343"/>
    <mergeCell ref="Q343:R343"/>
    <mergeCell ref="A344:B345"/>
    <mergeCell ref="A346:M346"/>
    <mergeCell ref="O346:V346"/>
    <mergeCell ref="A323:J323"/>
    <mergeCell ref="O324:P324"/>
    <mergeCell ref="Q324:R324"/>
    <mergeCell ref="L330:L331"/>
    <mergeCell ref="M330:M331"/>
    <mergeCell ref="A332:N332"/>
    <mergeCell ref="AA317:AB317"/>
    <mergeCell ref="AC317:AC318"/>
    <mergeCell ref="AD317:AG317"/>
    <mergeCell ref="AH317:AH318"/>
    <mergeCell ref="L312:L313"/>
    <mergeCell ref="M312:M313"/>
    <mergeCell ref="N312:N313"/>
    <mergeCell ref="Q338:R339"/>
    <mergeCell ref="S338:T339"/>
    <mergeCell ref="A315:A317"/>
    <mergeCell ref="B315:E317"/>
    <mergeCell ref="G317:K317"/>
    <mergeCell ref="L317:P317"/>
    <mergeCell ref="A306:B307"/>
    <mergeCell ref="A308:M308"/>
    <mergeCell ref="O308:V308"/>
    <mergeCell ref="O309:O310"/>
    <mergeCell ref="P309:P310"/>
    <mergeCell ref="Q309:Q310"/>
    <mergeCell ref="T309:T310"/>
    <mergeCell ref="G310:G313"/>
    <mergeCell ref="I310:I313"/>
    <mergeCell ref="K312:K313"/>
    <mergeCell ref="Q317:U317"/>
    <mergeCell ref="V317:Z317"/>
    <mergeCell ref="L292:L293"/>
    <mergeCell ref="M292:M293"/>
    <mergeCell ref="A294:N294"/>
    <mergeCell ref="Q300:R301"/>
    <mergeCell ref="S300:T301"/>
    <mergeCell ref="O305:P305"/>
    <mergeCell ref="Q305:R305"/>
    <mergeCell ref="AA279:AB279"/>
    <mergeCell ref="AC279:AC280"/>
    <mergeCell ref="AD279:AG279"/>
    <mergeCell ref="AH279:AH280"/>
    <mergeCell ref="A285:J285"/>
    <mergeCell ref="O286:P286"/>
    <mergeCell ref="Q286:R286"/>
    <mergeCell ref="A277:A279"/>
    <mergeCell ref="B277:E279"/>
    <mergeCell ref="G279:K279"/>
    <mergeCell ref="L279:P279"/>
    <mergeCell ref="Q279:U279"/>
    <mergeCell ref="V279:Z279"/>
    <mergeCell ref="O271:O272"/>
    <mergeCell ref="P271:P272"/>
    <mergeCell ref="Q271:Q272"/>
    <mergeCell ref="T271:T272"/>
    <mergeCell ref="G272:G275"/>
    <mergeCell ref="I272:I275"/>
    <mergeCell ref="K274:K275"/>
    <mergeCell ref="L274:L275"/>
    <mergeCell ref="M274:M275"/>
    <mergeCell ref="N274:N275"/>
    <mergeCell ref="O266:P266"/>
    <mergeCell ref="Q266:R266"/>
    <mergeCell ref="A268:B269"/>
    <mergeCell ref="A270:M270"/>
    <mergeCell ref="O270:V270"/>
    <mergeCell ref="A246:J246"/>
    <mergeCell ref="O247:P247"/>
    <mergeCell ref="Q247:R247"/>
    <mergeCell ref="L253:L254"/>
    <mergeCell ref="M253:M254"/>
    <mergeCell ref="A255:N255"/>
    <mergeCell ref="AA240:AB240"/>
    <mergeCell ref="AC240:AC241"/>
    <mergeCell ref="AD240:AG240"/>
    <mergeCell ref="AH240:AH241"/>
    <mergeCell ref="L235:L236"/>
    <mergeCell ref="M235:M236"/>
    <mergeCell ref="N235:N236"/>
    <mergeCell ref="Q261:R262"/>
    <mergeCell ref="S261:T262"/>
    <mergeCell ref="A238:A240"/>
    <mergeCell ref="B238:E240"/>
    <mergeCell ref="G240:K240"/>
    <mergeCell ref="L240:P240"/>
    <mergeCell ref="A229:B230"/>
    <mergeCell ref="A231:M231"/>
    <mergeCell ref="O231:V231"/>
    <mergeCell ref="O232:O233"/>
    <mergeCell ref="P232:P233"/>
    <mergeCell ref="Q232:Q233"/>
    <mergeCell ref="T232:T233"/>
    <mergeCell ref="G233:G236"/>
    <mergeCell ref="I233:I236"/>
    <mergeCell ref="K235:K236"/>
    <mergeCell ref="Q240:U240"/>
    <mergeCell ref="V240:Z240"/>
    <mergeCell ref="L215:L216"/>
    <mergeCell ref="M215:M216"/>
    <mergeCell ref="A217:N217"/>
    <mergeCell ref="Q223:R224"/>
    <mergeCell ref="S223:T224"/>
    <mergeCell ref="O228:P228"/>
    <mergeCell ref="Q228:R228"/>
    <mergeCell ref="AA202:AB202"/>
    <mergeCell ref="AC202:AC203"/>
    <mergeCell ref="AD202:AG202"/>
    <mergeCell ref="AH202:AH203"/>
    <mergeCell ref="A208:J208"/>
    <mergeCell ref="O209:P209"/>
    <mergeCell ref="Q209:R209"/>
    <mergeCell ref="A200:A202"/>
    <mergeCell ref="B200:E202"/>
    <mergeCell ref="G202:K202"/>
    <mergeCell ref="L202:P202"/>
    <mergeCell ref="Q202:U202"/>
    <mergeCell ref="V202:Z202"/>
    <mergeCell ref="O194:O195"/>
    <mergeCell ref="P194:P195"/>
    <mergeCell ref="Q194:Q195"/>
    <mergeCell ref="T194:T195"/>
    <mergeCell ref="G195:G198"/>
    <mergeCell ref="I195:I198"/>
    <mergeCell ref="K197:K198"/>
    <mergeCell ref="L197:L198"/>
    <mergeCell ref="M197:M198"/>
    <mergeCell ref="N197:N198"/>
    <mergeCell ref="O190:P190"/>
    <mergeCell ref="Q190:R190"/>
    <mergeCell ref="A191:B192"/>
    <mergeCell ref="A193:M193"/>
    <mergeCell ref="O193:V193"/>
    <mergeCell ref="A170:J170"/>
    <mergeCell ref="O171:P171"/>
    <mergeCell ref="Q171:R171"/>
    <mergeCell ref="L177:L178"/>
    <mergeCell ref="M177:M178"/>
    <mergeCell ref="A179:N179"/>
    <mergeCell ref="AA164:AB164"/>
    <mergeCell ref="AC164:AC165"/>
    <mergeCell ref="AD164:AG164"/>
    <mergeCell ref="AH164:AH165"/>
    <mergeCell ref="L159:L160"/>
    <mergeCell ref="M159:M160"/>
    <mergeCell ref="N159:N160"/>
    <mergeCell ref="Q185:R186"/>
    <mergeCell ref="S185:T186"/>
    <mergeCell ref="A162:A164"/>
    <mergeCell ref="B162:E164"/>
    <mergeCell ref="G164:K164"/>
    <mergeCell ref="L164:P164"/>
    <mergeCell ref="A153:B154"/>
    <mergeCell ref="A155:M155"/>
    <mergeCell ref="O155:V155"/>
    <mergeCell ref="O156:O157"/>
    <mergeCell ref="P156:P157"/>
    <mergeCell ref="Q156:Q157"/>
    <mergeCell ref="T156:T157"/>
    <mergeCell ref="G157:G160"/>
    <mergeCell ref="I157:I160"/>
    <mergeCell ref="K159:K160"/>
    <mergeCell ref="Q164:U164"/>
    <mergeCell ref="V164:Z164"/>
    <mergeCell ref="L139:L140"/>
    <mergeCell ref="M139:M140"/>
    <mergeCell ref="A141:N141"/>
    <mergeCell ref="Q147:R148"/>
    <mergeCell ref="S147:T148"/>
    <mergeCell ref="O152:P152"/>
    <mergeCell ref="Q152:R152"/>
    <mergeCell ref="AA126:AB126"/>
    <mergeCell ref="AC126:AC127"/>
    <mergeCell ref="AD126:AG126"/>
    <mergeCell ref="AH126:AH127"/>
    <mergeCell ref="A132:J132"/>
    <mergeCell ref="O133:P133"/>
    <mergeCell ref="Q133:R133"/>
    <mergeCell ref="A124:A126"/>
    <mergeCell ref="B124:E126"/>
    <mergeCell ref="G126:K126"/>
    <mergeCell ref="L126:P126"/>
    <mergeCell ref="Q126:U126"/>
    <mergeCell ref="V126:Z126"/>
    <mergeCell ref="O118:O119"/>
    <mergeCell ref="P118:P119"/>
    <mergeCell ref="Q118:Q119"/>
    <mergeCell ref="T118:T119"/>
    <mergeCell ref="G119:G122"/>
    <mergeCell ref="I119:I122"/>
    <mergeCell ref="K121:K122"/>
    <mergeCell ref="L121:L122"/>
    <mergeCell ref="M121:M122"/>
    <mergeCell ref="N121:N122"/>
    <mergeCell ref="O114:P114"/>
    <mergeCell ref="Q114:R114"/>
    <mergeCell ref="A115:B116"/>
    <mergeCell ref="A117:M117"/>
    <mergeCell ref="O117:V117"/>
    <mergeCell ref="A94:J94"/>
    <mergeCell ref="O95:P95"/>
    <mergeCell ref="Q95:R95"/>
    <mergeCell ref="L101:L102"/>
    <mergeCell ref="M101:M102"/>
    <mergeCell ref="A103:N103"/>
    <mergeCell ref="AA88:AB88"/>
    <mergeCell ref="AC88:AC89"/>
    <mergeCell ref="AD88:AG88"/>
    <mergeCell ref="AH88:AH89"/>
    <mergeCell ref="L83:L84"/>
    <mergeCell ref="M83:M84"/>
    <mergeCell ref="N83:N84"/>
    <mergeCell ref="Q109:R110"/>
    <mergeCell ref="S109:T110"/>
    <mergeCell ref="A86:A88"/>
    <mergeCell ref="B86:E88"/>
    <mergeCell ref="G88:K88"/>
    <mergeCell ref="L88:P88"/>
    <mergeCell ref="A77:B78"/>
    <mergeCell ref="A79:M79"/>
    <mergeCell ref="O79:V79"/>
    <mergeCell ref="O80:O81"/>
    <mergeCell ref="P80:P81"/>
    <mergeCell ref="Q80:Q81"/>
    <mergeCell ref="T80:T81"/>
    <mergeCell ref="G81:G84"/>
    <mergeCell ref="I81:I84"/>
    <mergeCell ref="K83:K84"/>
    <mergeCell ref="Q88:U88"/>
    <mergeCell ref="V88:Z88"/>
    <mergeCell ref="L63:L64"/>
    <mergeCell ref="M63:M64"/>
    <mergeCell ref="A65:N65"/>
    <mergeCell ref="Q71:R72"/>
    <mergeCell ref="S71:T72"/>
    <mergeCell ref="O76:P76"/>
    <mergeCell ref="Q76:R76"/>
    <mergeCell ref="AA50:AB50"/>
    <mergeCell ref="AC50:AC51"/>
    <mergeCell ref="AD50:AG50"/>
    <mergeCell ref="AH50:AH51"/>
    <mergeCell ref="A56:J56"/>
    <mergeCell ref="O57:P57"/>
    <mergeCell ref="Q57:R57"/>
    <mergeCell ref="A48:A50"/>
    <mergeCell ref="B48:E50"/>
    <mergeCell ref="G50:K50"/>
    <mergeCell ref="L50:P50"/>
    <mergeCell ref="Q50:U50"/>
    <mergeCell ref="V50:Z50"/>
    <mergeCell ref="O42:O43"/>
    <mergeCell ref="P42:P43"/>
    <mergeCell ref="Q42:Q43"/>
    <mergeCell ref="T42:T43"/>
    <mergeCell ref="G43:G46"/>
    <mergeCell ref="I43:I46"/>
    <mergeCell ref="K45:K46"/>
    <mergeCell ref="L45:L46"/>
    <mergeCell ref="M45:M46"/>
    <mergeCell ref="N45:N46"/>
    <mergeCell ref="O38:P38"/>
    <mergeCell ref="Q38:R38"/>
    <mergeCell ref="A39:B40"/>
    <mergeCell ref="A41:M41"/>
    <mergeCell ref="O41:V41"/>
    <mergeCell ref="A18:J18"/>
    <mergeCell ref="O19:P19"/>
    <mergeCell ref="Q19:R19"/>
    <mergeCell ref="L25:L26"/>
    <mergeCell ref="M25:M26"/>
    <mergeCell ref="A27:N27"/>
    <mergeCell ref="AA12:AB12"/>
    <mergeCell ref="AC12:AC13"/>
    <mergeCell ref="AD12:AG12"/>
    <mergeCell ref="AH12:AH13"/>
    <mergeCell ref="L7:L8"/>
    <mergeCell ref="M7:M8"/>
    <mergeCell ref="N7:N8"/>
    <mergeCell ref="Q33:R34"/>
    <mergeCell ref="S33:T34"/>
    <mergeCell ref="A10:A12"/>
    <mergeCell ref="B10:E12"/>
    <mergeCell ref="G12:K12"/>
    <mergeCell ref="L12:P12"/>
    <mergeCell ref="A1:B2"/>
    <mergeCell ref="A3:M3"/>
    <mergeCell ref="O3:V3"/>
    <mergeCell ref="O4:O5"/>
    <mergeCell ref="P4:P5"/>
    <mergeCell ref="Q4:Q5"/>
    <mergeCell ref="T4:T5"/>
    <mergeCell ref="G5:G8"/>
    <mergeCell ref="I5:I8"/>
    <mergeCell ref="K7:K8"/>
    <mergeCell ref="Q12:U12"/>
    <mergeCell ref="V12:Z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13"/>
  <sheetViews>
    <sheetView topLeftCell="A820" workbookViewId="0">
      <selection activeCell="E896" sqref="E896"/>
    </sheetView>
  </sheetViews>
  <sheetFormatPr defaultRowHeight="15" x14ac:dyDescent="0.25"/>
  <cols>
    <col min="1" max="1" width="9.28515625" customWidth="1"/>
    <col min="2" max="2" width="12" bestFit="1" customWidth="1"/>
    <col min="3" max="3" width="9.85546875" customWidth="1"/>
    <col min="4" max="4" width="8.42578125" customWidth="1"/>
    <col min="5" max="6" width="12" bestFit="1" customWidth="1"/>
    <col min="7" max="7" width="11.5703125" bestFit="1" customWidth="1"/>
    <col min="8" max="8" width="12" bestFit="1" customWidth="1"/>
    <col min="9" max="9" width="16.28515625" customWidth="1"/>
    <col min="10" max="10" width="12.42578125" customWidth="1"/>
    <col min="11" max="11" width="12.5703125" bestFit="1" customWidth="1"/>
    <col min="12" max="12" width="14.42578125" customWidth="1"/>
    <col min="13" max="13" width="13.42578125" customWidth="1"/>
    <col min="14" max="16" width="12" bestFit="1" customWidth="1"/>
    <col min="17" max="17" width="12.28515625" customWidth="1"/>
    <col min="18" max="18" width="14.140625" customWidth="1"/>
    <col min="19" max="20" width="12" bestFit="1" customWidth="1"/>
    <col min="21" max="21" width="14.28515625" bestFit="1" customWidth="1"/>
    <col min="22" max="22" width="10.7109375" bestFit="1" customWidth="1"/>
    <col min="23" max="23" width="7.140625" bestFit="1" customWidth="1"/>
    <col min="24" max="28" width="12" bestFit="1" customWidth="1"/>
    <col min="29" max="29" width="10.28515625" customWidth="1"/>
    <col min="30" max="33" width="3.140625" bestFit="1" customWidth="1"/>
  </cols>
  <sheetData>
    <row r="1" spans="1:34" x14ac:dyDescent="0.25">
      <c r="A1" s="181" t="s">
        <v>93</v>
      </c>
      <c r="B1" s="182"/>
    </row>
    <row r="2" spans="1:34" ht="15.75" thickBot="1" x14ac:dyDescent="0.3">
      <c r="A2" s="183"/>
      <c r="B2" s="184"/>
    </row>
    <row r="3" spans="1:34" ht="19.5" customHeight="1" x14ac:dyDescent="0.35">
      <c r="A3" s="185" t="s">
        <v>14</v>
      </c>
      <c r="B3" s="18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O3" s="166" t="s">
        <v>72</v>
      </c>
      <c r="P3" s="166"/>
      <c r="Q3" s="166"/>
      <c r="R3" s="166"/>
      <c r="S3" s="166"/>
      <c r="T3" s="166"/>
      <c r="U3" s="166"/>
      <c r="V3" s="166"/>
    </row>
    <row r="4" spans="1:34" ht="36" x14ac:dyDescent="0.25">
      <c r="A4" s="4" t="s">
        <v>15</v>
      </c>
      <c r="B4" s="4" t="s">
        <v>16</v>
      </c>
      <c r="C4" s="4" t="s">
        <v>31</v>
      </c>
      <c r="D4" s="6" t="s">
        <v>17</v>
      </c>
      <c r="E4" s="6" t="s">
        <v>18</v>
      </c>
      <c r="F4" s="6" t="s">
        <v>19</v>
      </c>
      <c r="G4" s="6" t="s">
        <v>20</v>
      </c>
      <c r="H4" s="6" t="s">
        <v>21</v>
      </c>
      <c r="I4" s="6" t="s">
        <v>22</v>
      </c>
      <c r="J4" s="6" t="s">
        <v>23</v>
      </c>
      <c r="K4" s="6" t="s">
        <v>24</v>
      </c>
      <c r="L4" s="6" t="s">
        <v>25</v>
      </c>
      <c r="M4" s="6" t="s">
        <v>26</v>
      </c>
      <c r="N4" s="8"/>
      <c r="O4" s="167" t="s">
        <v>32</v>
      </c>
      <c r="P4" s="167" t="s">
        <v>35</v>
      </c>
      <c r="Q4" s="167" t="s">
        <v>66</v>
      </c>
      <c r="R4" s="99" t="s">
        <v>67</v>
      </c>
      <c r="S4" s="99" t="s">
        <v>68</v>
      </c>
      <c r="T4" s="167" t="s">
        <v>69</v>
      </c>
      <c r="U4" s="71" t="s">
        <v>33</v>
      </c>
      <c r="V4" s="99" t="s">
        <v>70</v>
      </c>
    </row>
    <row r="5" spans="1:34" x14ac:dyDescent="0.25">
      <c r="A5" s="3" t="s">
        <v>27</v>
      </c>
      <c r="B5" s="3">
        <v>0</v>
      </c>
      <c r="C5" s="3">
        <v>0.3</v>
      </c>
      <c r="D5" s="3">
        <v>243</v>
      </c>
      <c r="E5" s="3">
        <v>1.73</v>
      </c>
      <c r="F5" s="3">
        <v>5</v>
      </c>
      <c r="G5" s="169">
        <v>12</v>
      </c>
      <c r="H5" s="3">
        <v>1820</v>
      </c>
      <c r="I5" s="169">
        <v>19645</v>
      </c>
      <c r="J5" s="3">
        <v>20</v>
      </c>
      <c r="K5" s="3">
        <v>40</v>
      </c>
      <c r="L5" s="3">
        <v>500</v>
      </c>
      <c r="M5" s="3">
        <v>1000</v>
      </c>
      <c r="O5" s="168"/>
      <c r="P5" s="168"/>
      <c r="Q5" s="168"/>
      <c r="R5" s="72" t="s">
        <v>71</v>
      </c>
      <c r="S5" s="72" t="s">
        <v>71</v>
      </c>
      <c r="T5" s="168"/>
      <c r="U5" s="73">
        <v>500</v>
      </c>
      <c r="V5" s="3">
        <v>1.5</v>
      </c>
    </row>
    <row r="6" spans="1:34" x14ac:dyDescent="0.25">
      <c r="A6" s="3" t="s">
        <v>28</v>
      </c>
      <c r="B6" s="3">
        <v>0</v>
      </c>
      <c r="C6" s="3">
        <v>0.3</v>
      </c>
      <c r="D6" s="3">
        <v>254</v>
      </c>
      <c r="E6" s="3">
        <v>1.88</v>
      </c>
      <c r="F6" s="3">
        <v>3</v>
      </c>
      <c r="G6" s="170"/>
      <c r="H6" s="3">
        <v>2720</v>
      </c>
      <c r="I6" s="170"/>
      <c r="J6" s="5"/>
      <c r="K6" s="5"/>
      <c r="L6" s="5"/>
      <c r="M6" s="5"/>
      <c r="O6" s="74">
        <v>1</v>
      </c>
      <c r="P6" s="74">
        <v>106</v>
      </c>
      <c r="Q6" s="74">
        <v>110</v>
      </c>
      <c r="R6" s="74">
        <v>6</v>
      </c>
      <c r="S6" s="74">
        <v>5</v>
      </c>
      <c r="T6" s="74">
        <f>R6*$U$5/60+S6</f>
        <v>55</v>
      </c>
      <c r="U6" s="75"/>
    </row>
    <row r="7" spans="1:34" x14ac:dyDescent="0.25">
      <c r="A7" s="3" t="s">
        <v>29</v>
      </c>
      <c r="B7" s="3">
        <v>0</v>
      </c>
      <c r="C7" s="3">
        <v>0.3</v>
      </c>
      <c r="D7" s="3">
        <v>143</v>
      </c>
      <c r="E7" s="3">
        <v>2.4300000000000002</v>
      </c>
      <c r="F7" s="3">
        <v>8</v>
      </c>
      <c r="G7" s="170"/>
      <c r="H7" s="3">
        <v>3700</v>
      </c>
      <c r="I7" s="170"/>
      <c r="J7" s="5"/>
      <c r="K7" s="140" t="s">
        <v>73</v>
      </c>
      <c r="L7" s="141">
        <v>12</v>
      </c>
      <c r="M7" s="140" t="s">
        <v>74</v>
      </c>
      <c r="N7" s="141">
        <v>19645</v>
      </c>
      <c r="O7" s="74">
        <v>2</v>
      </c>
      <c r="P7" s="74">
        <v>76</v>
      </c>
      <c r="Q7" s="74">
        <v>40</v>
      </c>
      <c r="R7" s="74">
        <v>9</v>
      </c>
      <c r="S7" s="74">
        <v>2</v>
      </c>
      <c r="T7" s="74">
        <f t="shared" ref="T7:T9" si="0">R7*$U$5/60+S7</f>
        <v>77</v>
      </c>
      <c r="U7" s="75"/>
    </row>
    <row r="8" spans="1:34" x14ac:dyDescent="0.25">
      <c r="A8" s="3" t="s">
        <v>30</v>
      </c>
      <c r="B8" s="3">
        <v>0</v>
      </c>
      <c r="C8" s="3">
        <v>0.3</v>
      </c>
      <c r="D8" s="3">
        <v>449</v>
      </c>
      <c r="E8" s="3">
        <v>2.5299999999999998</v>
      </c>
      <c r="F8" s="3">
        <v>4</v>
      </c>
      <c r="G8" s="171"/>
      <c r="H8" s="3">
        <v>4320</v>
      </c>
      <c r="I8" s="171"/>
      <c r="J8" s="5"/>
      <c r="K8" s="140"/>
      <c r="L8" s="141"/>
      <c r="M8" s="140"/>
      <c r="N8" s="141"/>
      <c r="O8" s="74">
        <v>3</v>
      </c>
      <c r="P8" s="74">
        <v>95</v>
      </c>
      <c r="Q8" s="74">
        <v>67</v>
      </c>
      <c r="R8" s="74">
        <v>5</v>
      </c>
      <c r="S8" s="74">
        <v>4</v>
      </c>
      <c r="T8" s="74">
        <f t="shared" si="0"/>
        <v>45.666666666666664</v>
      </c>
      <c r="U8" s="75"/>
    </row>
    <row r="9" spans="1:34" ht="15.75" thickBo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O9" s="74">
        <v>4</v>
      </c>
      <c r="P9" s="74">
        <v>140</v>
      </c>
      <c r="Q9" s="94">
        <v>85</v>
      </c>
      <c r="R9" s="94">
        <v>8</v>
      </c>
      <c r="S9" s="94">
        <v>3</v>
      </c>
      <c r="T9" s="74">
        <f t="shared" si="0"/>
        <v>69.666666666666671</v>
      </c>
    </row>
    <row r="10" spans="1:34" ht="15.75" customHeight="1" x14ac:dyDescent="0.25">
      <c r="A10" s="172" t="s">
        <v>104</v>
      </c>
      <c r="B10" s="144" t="s">
        <v>105</v>
      </c>
      <c r="C10" s="144"/>
      <c r="D10" s="144"/>
      <c r="E10" s="144"/>
      <c r="F10" s="20" t="s">
        <v>27</v>
      </c>
      <c r="G10" s="20" t="s">
        <v>28</v>
      </c>
      <c r="H10" s="20" t="s">
        <v>29</v>
      </c>
      <c r="I10" s="20" t="s">
        <v>30</v>
      </c>
    </row>
    <row r="11" spans="1:34" ht="15.75" customHeight="1" thickBot="1" x14ac:dyDescent="0.3">
      <c r="A11" s="173"/>
      <c r="B11" s="145"/>
      <c r="C11" s="145"/>
      <c r="D11" s="145"/>
      <c r="E11" s="145"/>
      <c r="F11" s="20">
        <v>84</v>
      </c>
      <c r="G11" s="26">
        <v>84</v>
      </c>
      <c r="H11" s="26">
        <v>84</v>
      </c>
      <c r="I11" s="26">
        <v>252</v>
      </c>
    </row>
    <row r="12" spans="1:34" ht="15.75" customHeight="1" thickBot="1" x14ac:dyDescent="0.3">
      <c r="A12" s="173"/>
      <c r="B12" s="145"/>
      <c r="C12" s="145"/>
      <c r="D12" s="145"/>
      <c r="E12" s="145"/>
      <c r="F12" s="7"/>
      <c r="G12" s="146" t="s">
        <v>27</v>
      </c>
      <c r="H12" s="147"/>
      <c r="I12" s="147"/>
      <c r="J12" s="147"/>
      <c r="K12" s="148"/>
      <c r="L12" s="149" t="s">
        <v>28</v>
      </c>
      <c r="M12" s="150"/>
      <c r="N12" s="150"/>
      <c r="O12" s="150"/>
      <c r="P12" s="151"/>
      <c r="Q12" s="152" t="s">
        <v>29</v>
      </c>
      <c r="R12" s="153"/>
      <c r="S12" s="153"/>
      <c r="T12" s="153"/>
      <c r="U12" s="154"/>
      <c r="V12" s="155" t="s">
        <v>30</v>
      </c>
      <c r="W12" s="156"/>
      <c r="X12" s="156"/>
      <c r="Y12" s="156"/>
      <c r="Z12" s="157"/>
      <c r="AA12" s="158" t="s">
        <v>42</v>
      </c>
      <c r="AB12" s="159"/>
      <c r="AC12" s="160" t="s">
        <v>44</v>
      </c>
      <c r="AD12" s="162" t="s">
        <v>47</v>
      </c>
      <c r="AE12" s="163"/>
      <c r="AF12" s="163"/>
      <c r="AG12" s="164"/>
      <c r="AH12" s="138" t="s">
        <v>62</v>
      </c>
    </row>
    <row r="13" spans="1:34" ht="36.75" x14ac:dyDescent="0.25">
      <c r="A13" s="21" t="s">
        <v>32</v>
      </c>
      <c r="B13" s="22" t="s">
        <v>37</v>
      </c>
      <c r="C13" s="23" t="s">
        <v>33</v>
      </c>
      <c r="D13" s="22" t="s">
        <v>38</v>
      </c>
      <c r="E13" s="22" t="s">
        <v>34</v>
      </c>
      <c r="F13" s="25" t="s">
        <v>35</v>
      </c>
      <c r="G13" s="27" t="s">
        <v>39</v>
      </c>
      <c r="H13" s="10" t="s">
        <v>40</v>
      </c>
      <c r="I13" s="10" t="s">
        <v>45</v>
      </c>
      <c r="J13" s="10" t="s">
        <v>46</v>
      </c>
      <c r="K13" s="28" t="s">
        <v>41</v>
      </c>
      <c r="L13" s="30" t="s">
        <v>39</v>
      </c>
      <c r="M13" s="13" t="s">
        <v>40</v>
      </c>
      <c r="N13" s="13" t="s">
        <v>45</v>
      </c>
      <c r="O13" s="13" t="s">
        <v>46</v>
      </c>
      <c r="P13" s="31" t="s">
        <v>41</v>
      </c>
      <c r="Q13" s="33" t="s">
        <v>39</v>
      </c>
      <c r="R13" s="12" t="s">
        <v>40</v>
      </c>
      <c r="S13" s="12" t="s">
        <v>45</v>
      </c>
      <c r="T13" s="12" t="s">
        <v>46</v>
      </c>
      <c r="U13" s="34" t="s">
        <v>41</v>
      </c>
      <c r="V13" s="36" t="s">
        <v>39</v>
      </c>
      <c r="W13" s="11" t="s">
        <v>40</v>
      </c>
      <c r="X13" s="11" t="s">
        <v>45</v>
      </c>
      <c r="Y13" s="11" t="s">
        <v>46</v>
      </c>
      <c r="Z13" s="37" t="s">
        <v>41</v>
      </c>
      <c r="AA13" s="39" t="s">
        <v>41</v>
      </c>
      <c r="AB13" s="40" t="s">
        <v>43</v>
      </c>
      <c r="AC13" s="161"/>
      <c r="AD13" s="43" t="s">
        <v>27</v>
      </c>
      <c r="AE13" s="1" t="s">
        <v>28</v>
      </c>
      <c r="AF13" s="1" t="s">
        <v>29</v>
      </c>
      <c r="AG13" s="1" t="s">
        <v>30</v>
      </c>
      <c r="AH13" s="139"/>
    </row>
    <row r="14" spans="1:34" x14ac:dyDescent="0.25">
      <c r="A14" s="24">
        <v>3</v>
      </c>
      <c r="B14" s="9">
        <v>5</v>
      </c>
      <c r="C14" s="9">
        <v>500</v>
      </c>
      <c r="D14" s="9">
        <v>4</v>
      </c>
      <c r="E14" s="48">
        <f>B14*C14/60+D14</f>
        <v>45.666666666666664</v>
      </c>
      <c r="F14" s="14">
        <v>95</v>
      </c>
      <c r="G14" s="49">
        <f>B$5*(1-AD14*C$5)</f>
        <v>0</v>
      </c>
      <c r="H14" s="50">
        <f>G14+E14</f>
        <v>45.666666666666664</v>
      </c>
      <c r="I14" s="15">
        <f>(H14/D$5)^E$5</f>
        <v>5.5463587496332782E-2</v>
      </c>
      <c r="J14" s="15">
        <f>(G14/D$5)^E$5</f>
        <v>0</v>
      </c>
      <c r="K14" s="29">
        <f>1-EXP(J14-I14)</f>
        <v>5.3953529036131931E-2</v>
      </c>
      <c r="L14" s="51">
        <f>B$6*(1-AE14*C$6)</f>
        <v>0</v>
      </c>
      <c r="M14" s="52">
        <f>L14+E14</f>
        <v>45.666666666666664</v>
      </c>
      <c r="N14" s="17">
        <f>(M14/D$6)^E$6</f>
        <v>3.9715434673642101E-2</v>
      </c>
      <c r="O14" s="17">
        <f>(L14/D$6)^E$6</f>
        <v>0</v>
      </c>
      <c r="P14" s="32">
        <f>1-EXP(O14-N14)</f>
        <v>3.8937114582545562E-2</v>
      </c>
      <c r="Q14" s="53">
        <f>B$7*(1-AF14*C$7)</f>
        <v>0</v>
      </c>
      <c r="R14" s="54">
        <f>Q14+E14</f>
        <v>45.666666666666664</v>
      </c>
      <c r="S14" s="16">
        <f>(R14/D$7)^E$7</f>
        <v>6.2425173515745024E-2</v>
      </c>
      <c r="T14" s="16">
        <f>(Q14/D$7)^E$7</f>
        <v>0</v>
      </c>
      <c r="U14" s="35">
        <f>1-EXP(T14-S14)</f>
        <v>6.0516641579816954E-2</v>
      </c>
      <c r="V14" s="55">
        <f>B$8*(1-AG14*C$8)</f>
        <v>0</v>
      </c>
      <c r="W14" s="56">
        <f>V14+E14</f>
        <v>45.666666666666664</v>
      </c>
      <c r="X14" s="18">
        <f>(W14/D$8)^E$8</f>
        <v>3.0803709406480337E-3</v>
      </c>
      <c r="Y14" s="18">
        <f>(V14/D$8)^E$8</f>
        <v>0</v>
      </c>
      <c r="Z14" s="38">
        <f>1-EXP(Y14-X14)</f>
        <v>3.0756314657778283E-3</v>
      </c>
      <c r="AA14" s="41">
        <f>K14*P14*U14*Z14</f>
        <v>3.9101438569080559E-7</v>
      </c>
      <c r="AB14" s="42">
        <f>1-AA14</f>
        <v>0.99999960898561435</v>
      </c>
      <c r="AC14" s="47">
        <f>(AD14*F$5+AE14*F$6+AF14*F$7+AG14*F$8)+E14</f>
        <v>45.666666666666664</v>
      </c>
      <c r="AD14" s="43">
        <v>0</v>
      </c>
      <c r="AE14" s="1">
        <v>0</v>
      </c>
      <c r="AF14" s="1">
        <v>0</v>
      </c>
      <c r="AG14" s="1">
        <v>0</v>
      </c>
      <c r="AH14" s="44">
        <v>67</v>
      </c>
    </row>
    <row r="15" spans="1:34" x14ac:dyDescent="0.25">
      <c r="A15" s="24">
        <v>1</v>
      </c>
      <c r="B15" s="9">
        <v>6</v>
      </c>
      <c r="C15" s="9">
        <v>500</v>
      </c>
      <c r="D15" s="9">
        <v>5</v>
      </c>
      <c r="E15" s="9">
        <f t="shared" ref="E15:E17" si="1">B15*C15/60+D15</f>
        <v>55</v>
      </c>
      <c r="F15" s="14">
        <v>106</v>
      </c>
      <c r="G15" s="49">
        <f>H14*(1-AD15*C$5)</f>
        <v>45.666666666666664</v>
      </c>
      <c r="H15" s="50">
        <f>G15+E15</f>
        <v>100.66666666666666</v>
      </c>
      <c r="I15" s="15">
        <f>(H15/D$5)^E$5</f>
        <v>0.21771752434165836</v>
      </c>
      <c r="J15" s="15">
        <f>(G15/D$5)^E$5</f>
        <v>5.5463587496332782E-2</v>
      </c>
      <c r="K15" s="29">
        <f>1-EXP(J15-I15)</f>
        <v>0.14977472639881173</v>
      </c>
      <c r="L15" s="51">
        <f>M14*(1-AE15*C$6)</f>
        <v>45.666666666666664</v>
      </c>
      <c r="M15" s="52">
        <f>L15+E15</f>
        <v>100.66666666666666</v>
      </c>
      <c r="N15" s="17">
        <f>(M15/D$6)^E$6</f>
        <v>0.17552448466860393</v>
      </c>
      <c r="O15" s="17">
        <f>(L15/D$6)^E$6</f>
        <v>3.9715434673642101E-2</v>
      </c>
      <c r="P15" s="32">
        <f>1-EXP(O15-N15)</f>
        <v>0.12699068229244426</v>
      </c>
      <c r="Q15" s="53">
        <f>R14*(1-AF15*C$7)</f>
        <v>45.666666666666664</v>
      </c>
      <c r="R15" s="54">
        <f>Q15+E15</f>
        <v>100.66666666666666</v>
      </c>
      <c r="S15" s="16">
        <f>(R15/D$7)^E$7</f>
        <v>0.42613347475170693</v>
      </c>
      <c r="T15" s="16">
        <f>(Q15/D$7)^E$7</f>
        <v>6.2425173515745024E-2</v>
      </c>
      <c r="U15" s="35">
        <f>1-EXP(T15-S15)</f>
        <v>0.30490607678805748</v>
      </c>
      <c r="V15" s="55">
        <f>W14*(1-AG15*C$8)</f>
        <v>45.666666666666664</v>
      </c>
      <c r="W15" s="56">
        <f>V15+E15</f>
        <v>100.66666666666666</v>
      </c>
      <c r="X15" s="18">
        <f>(W15/D$8)^E$8</f>
        <v>2.275713304339216E-2</v>
      </c>
      <c r="Y15" s="18">
        <f>(V15/D$8)^E$8</f>
        <v>3.0803709406480337E-3</v>
      </c>
      <c r="Z15" s="38">
        <f>1-EXP(Y15-X15)</f>
        <v>1.9484438122753578E-2</v>
      </c>
      <c r="AA15" s="41">
        <f>K15*P15*U15*Z15</f>
        <v>1.1299633510053277E-4</v>
      </c>
      <c r="AB15" s="42">
        <f>1-AA15</f>
        <v>0.99988700366489947</v>
      </c>
      <c r="AC15" s="47">
        <f>AF15*F$7+E15+AC14</f>
        <v>100.66666666666666</v>
      </c>
      <c r="AD15" s="43">
        <v>0</v>
      </c>
      <c r="AE15" s="1">
        <v>0</v>
      </c>
      <c r="AF15" s="1">
        <v>0</v>
      </c>
      <c r="AG15" s="1">
        <v>0</v>
      </c>
      <c r="AH15" s="44">
        <v>110</v>
      </c>
    </row>
    <row r="16" spans="1:34" x14ac:dyDescent="0.25">
      <c r="A16" s="57">
        <v>2</v>
      </c>
      <c r="B16" s="58">
        <v>9</v>
      </c>
      <c r="C16" s="58">
        <v>500</v>
      </c>
      <c r="D16" s="58">
        <v>2</v>
      </c>
      <c r="E16" s="66">
        <f t="shared" si="1"/>
        <v>77</v>
      </c>
      <c r="F16" s="67">
        <v>76</v>
      </c>
      <c r="G16" s="68">
        <f>H15*(1-AD16*C$5)</f>
        <v>70.466666666666654</v>
      </c>
      <c r="H16" s="69">
        <f>G16+E16</f>
        <v>147.46666666666664</v>
      </c>
      <c r="I16" s="70">
        <f>(H16/D$5)^E$5</f>
        <v>0.42144560641664969</v>
      </c>
      <c r="J16" s="70">
        <f>(G16/D$5)^E$5</f>
        <v>0.11746622079432449</v>
      </c>
      <c r="K16" s="29">
        <f>1-EXP(J16-I16)</f>
        <v>0.26212392285005737</v>
      </c>
      <c r="L16" s="51">
        <f>M15*(1-AE16*C$6)</f>
        <v>70.466666666666654</v>
      </c>
      <c r="M16" s="52">
        <f>L16+E16</f>
        <v>147.46666666666664</v>
      </c>
      <c r="N16" s="17">
        <f>(M16/D$6)^E$6</f>
        <v>0.35979661759585591</v>
      </c>
      <c r="O16" s="17">
        <f>(L16/D$6)^E$6</f>
        <v>8.9768097666615101E-2</v>
      </c>
      <c r="P16" s="32">
        <f>1-EXP(O16-N16)</f>
        <v>0.23664227688185091</v>
      </c>
      <c r="Q16" s="53">
        <f>R15*(1-AF16*C$7)</f>
        <v>70.466666666666654</v>
      </c>
      <c r="R16" s="54">
        <f>Q16+E16</f>
        <v>147.46666666666664</v>
      </c>
      <c r="S16" s="16">
        <f>(R16/D$7)^E$7</f>
        <v>1.0776048006073178</v>
      </c>
      <c r="T16" s="16">
        <f>(Q16/D$7)^E$7</f>
        <v>0.17911579648738157</v>
      </c>
      <c r="U16" s="35">
        <f>1-EXP(T16-S16)</f>
        <v>0.59281555082339077</v>
      </c>
      <c r="V16" s="55">
        <f>W15*(1-AG16*C$8)</f>
        <v>100.66666666666666</v>
      </c>
      <c r="W16" s="56">
        <f>V16+E16</f>
        <v>177.66666666666666</v>
      </c>
      <c r="X16" s="18">
        <f>(W16/D$8)^E$8</f>
        <v>9.5789922449281015E-2</v>
      </c>
      <c r="Y16" s="18">
        <f>(V16/D$8)^E$8</f>
        <v>2.275713304339216E-2</v>
      </c>
      <c r="Z16" s="38">
        <f>1-EXP(Y16-X16)</f>
        <v>7.0429650533415211E-2</v>
      </c>
      <c r="AA16" s="41">
        <f>K16*P16*U16*Z16</f>
        <v>2.5898470422277202E-3</v>
      </c>
      <c r="AB16" s="42">
        <f>1-AA16</f>
        <v>0.99741015295777224</v>
      </c>
      <c r="AC16" s="47">
        <f>(AF16*F$7)+E16+AC15</f>
        <v>185.66666666666666</v>
      </c>
      <c r="AD16" s="77">
        <v>1</v>
      </c>
      <c r="AE16" s="78">
        <v>1</v>
      </c>
      <c r="AF16" s="78">
        <v>1</v>
      </c>
      <c r="AG16" s="78">
        <v>0</v>
      </c>
      <c r="AH16" s="79">
        <v>40</v>
      </c>
    </row>
    <row r="17" spans="1:34" ht="15.75" thickBot="1" x14ac:dyDescent="0.3">
      <c r="A17" s="76">
        <v>4</v>
      </c>
      <c r="B17" s="58">
        <v>8</v>
      </c>
      <c r="C17" s="58">
        <v>500</v>
      </c>
      <c r="D17" s="58">
        <v>3</v>
      </c>
      <c r="E17" s="66">
        <f t="shared" si="1"/>
        <v>69.666666666666671</v>
      </c>
      <c r="F17" s="67">
        <v>140</v>
      </c>
      <c r="G17" s="68">
        <f>H16*(1-AD17*C$5)</f>
        <v>103.22666666666665</v>
      </c>
      <c r="H17" s="69">
        <f>G17+E17</f>
        <v>172.89333333333332</v>
      </c>
      <c r="I17" s="70">
        <f>(H17/D$5)^E$5</f>
        <v>0.55495467561038181</v>
      </c>
      <c r="J17" s="70">
        <f>(G17/D$5)^E$5</f>
        <v>0.22738464809313327</v>
      </c>
      <c r="K17" s="29">
        <f>1-EXP(J17-I17)</f>
        <v>0.27932717742005098</v>
      </c>
      <c r="L17" s="51">
        <f>M16*(1-AE17*C$6)</f>
        <v>103.22666666666665</v>
      </c>
      <c r="M17" s="52">
        <f>L17+E17</f>
        <v>172.89333333333332</v>
      </c>
      <c r="N17" s="17">
        <f>(M17/D$6)^E$6</f>
        <v>0.48521667557272297</v>
      </c>
      <c r="O17" s="17">
        <f>(L17/D$6)^E$6</f>
        <v>0.18400998566919444</v>
      </c>
      <c r="P17" s="32">
        <f>1-EXP(O17-N17)</f>
        <v>0.26007517804950775</v>
      </c>
      <c r="Q17" s="53">
        <f>R16*(1-AF17*C$7)</f>
        <v>103.22666666666665</v>
      </c>
      <c r="R17" s="54">
        <f>Q17+E17</f>
        <v>172.89333333333332</v>
      </c>
      <c r="S17" s="16">
        <f>(R17/D$7)^E$7</f>
        <v>1.5861146273855486</v>
      </c>
      <c r="T17" s="16">
        <f>(Q17/D$7)^E$7</f>
        <v>0.45294738291064662</v>
      </c>
      <c r="U17" s="35">
        <f>1-EXP(T17-S17)</f>
        <v>0.67798825033960464</v>
      </c>
      <c r="V17" s="55">
        <f>W16*(1-AG17*C$8)</f>
        <v>177.66666666666666</v>
      </c>
      <c r="W17" s="56">
        <f>V17+E17</f>
        <v>247.33333333333331</v>
      </c>
      <c r="X17" s="18">
        <f>(W17/D$8)^E$8</f>
        <v>0.221218713919872</v>
      </c>
      <c r="Y17" s="18">
        <f>(V17/D$8)^E$8</f>
        <v>9.5789922449281015E-2</v>
      </c>
      <c r="Z17" s="38">
        <f>1-EXP(Y17-X17)</f>
        <v>0.11788142344277242</v>
      </c>
      <c r="AA17" s="41">
        <f>K17*P17*U17*Z17</f>
        <v>5.8060348231582602E-3</v>
      </c>
      <c r="AB17" s="42">
        <f>1-AA17</f>
        <v>0.99419396517684178</v>
      </c>
      <c r="AC17" s="47">
        <f>(AF17*F$7)+E17+AC16</f>
        <v>263.33333333333331</v>
      </c>
      <c r="AD17" s="80">
        <v>1</v>
      </c>
      <c r="AE17" s="45">
        <v>1</v>
      </c>
      <c r="AF17" s="81">
        <v>1</v>
      </c>
      <c r="AG17" s="45">
        <v>0</v>
      </c>
      <c r="AH17" s="82">
        <v>85</v>
      </c>
    </row>
    <row r="18" spans="1:34" ht="18.75" x14ac:dyDescent="0.3">
      <c r="A18" s="132" t="s">
        <v>53</v>
      </c>
      <c r="B18" s="132"/>
      <c r="C18" s="132"/>
      <c r="D18" s="132"/>
      <c r="E18" s="132"/>
      <c r="F18" s="132"/>
      <c r="G18" s="132"/>
      <c r="H18" s="132"/>
      <c r="I18" s="132"/>
      <c r="J18" s="132"/>
      <c r="AG18" s="46"/>
    </row>
    <row r="19" spans="1:34" ht="15.75" x14ac:dyDescent="0.25">
      <c r="A19" s="19" t="s">
        <v>54</v>
      </c>
      <c r="B19" s="60" t="s">
        <v>49</v>
      </c>
      <c r="C19" s="61" t="s">
        <v>50</v>
      </c>
      <c r="D19" s="19" t="s">
        <v>58</v>
      </c>
      <c r="E19" s="60" t="s">
        <v>57</v>
      </c>
      <c r="F19" s="61" t="s">
        <v>50</v>
      </c>
      <c r="G19" s="19" t="s">
        <v>48</v>
      </c>
      <c r="H19" s="60" t="s">
        <v>61</v>
      </c>
      <c r="I19" s="61" t="s">
        <v>50</v>
      </c>
      <c r="J19" s="19" t="s">
        <v>82</v>
      </c>
      <c r="K19" s="83" t="s">
        <v>84</v>
      </c>
      <c r="L19" s="61" t="s">
        <v>50</v>
      </c>
      <c r="M19" s="61" t="s">
        <v>85</v>
      </c>
      <c r="O19" s="174" t="s">
        <v>64</v>
      </c>
      <c r="P19" s="174"/>
      <c r="Q19" s="175" t="s">
        <v>109</v>
      </c>
      <c r="R19" s="175"/>
    </row>
    <row r="20" spans="1:34" ht="24.75" x14ac:dyDescent="0.25">
      <c r="A20" s="61" t="s">
        <v>51</v>
      </c>
      <c r="B20" s="1">
        <f>AA14</f>
        <v>3.9101438569080559E-7</v>
      </c>
      <c r="C20" s="59">
        <f>MAX(AC14+1*L7-F14,0)</f>
        <v>0</v>
      </c>
      <c r="D20" s="62" t="s">
        <v>55</v>
      </c>
      <c r="E20" s="1">
        <f>AA14*AA15</f>
        <v>4.4183192554647236E-11</v>
      </c>
      <c r="F20" s="1">
        <f>MAX(AC15+2*L7-F15,0)</f>
        <v>18.666666666666657</v>
      </c>
      <c r="G20" s="62" t="s">
        <v>59</v>
      </c>
      <c r="H20" s="1">
        <f>AA14*AA15*AA16</f>
        <v>1.1442771055383096E-13</v>
      </c>
      <c r="I20" s="1">
        <f>AC16+3*L7-F16</f>
        <v>145.66666666666666</v>
      </c>
      <c r="J20" s="62" t="s">
        <v>83</v>
      </c>
      <c r="K20" s="1">
        <f>AA14*AA15*AA16*AA17</f>
        <v>6.6437127220981648E-16</v>
      </c>
      <c r="L20" s="1">
        <f>AC17+4*L7-F17</f>
        <v>171.33333333333331</v>
      </c>
      <c r="M20" s="1">
        <f>B20*C20*AH14+E20*F20*AH15+H20*I20*AH16+K20*L20*AH17</f>
        <v>9.1399229632663553E-8</v>
      </c>
      <c r="O20" s="1" t="s">
        <v>27</v>
      </c>
      <c r="P20" s="1">
        <f>2*H5</f>
        <v>3640</v>
      </c>
      <c r="Q20" s="1">
        <f>(K14*(1-P14)*(1-U14)*(1-Z14))+(P14*(1-K14)*(1-U14)*(1-Z14))+(U14*(1-K14)*(1-P14)*(1-Z14))+(Z14*(1-K14)*(1-P14)*(1-U14))</f>
        <v>0.1405459062810282</v>
      </c>
      <c r="R20" s="1">
        <f>Q20*(L$7*(J$5*K$5+L$5)+I$5)</f>
        <v>4953.5404668748388</v>
      </c>
    </row>
    <row r="21" spans="1:34" ht="24.75" x14ac:dyDescent="0.25">
      <c r="A21" s="62" t="s">
        <v>52</v>
      </c>
      <c r="B21" s="1">
        <f>AB14</f>
        <v>0.99999960898561435</v>
      </c>
      <c r="C21" s="59">
        <f>MAX(AC14-F14,0)</f>
        <v>0</v>
      </c>
      <c r="D21" s="62" t="s">
        <v>56</v>
      </c>
      <c r="E21" s="1">
        <f>AA14*AB15+AA15*AB14</f>
        <v>1.1338726111983848E-4</v>
      </c>
      <c r="F21" s="1">
        <f>MAX(AC15+1*L7-F15,0)</f>
        <v>6.6666666666666572</v>
      </c>
      <c r="G21" s="62" t="s">
        <v>60</v>
      </c>
      <c r="H21" s="1">
        <f>AA14*AA15*AB16+AA15*AA16*AB14+AA14*AA16*AB15</f>
        <v>2.9369973160235993E-7</v>
      </c>
      <c r="I21" s="1">
        <f>AC16+2*L7-F16</f>
        <v>133.66666666666666</v>
      </c>
      <c r="J21" s="62" t="s">
        <v>59</v>
      </c>
      <c r="K21">
        <f>AB14*AA15*AA16*AA17+AB15*AA14*AA16*AA17*+AB16*AA14*AA15*AA17+AB17*AA14*AA15*AA16</f>
        <v>1.699209849682364E-9</v>
      </c>
      <c r="L21" s="1">
        <f>AC17+3*L7-F17</f>
        <v>159.33333333333331</v>
      </c>
      <c r="M21" s="1">
        <f>B21*C21*AH14+E21*F21*AH15+H21*I21*AH16+K21*L21*AH17</f>
        <v>8.4743985684912912E-2</v>
      </c>
      <c r="O21" s="1" t="s">
        <v>28</v>
      </c>
      <c r="P21" s="1">
        <f>2*H6</f>
        <v>5440</v>
      </c>
      <c r="Q21" s="1">
        <f t="shared" ref="Q21:Q23" si="2">(K15*(1-P15)*(1-U15)*(1-Z15))+(P15*(1-K15)*(1-U15)*(1-Z15))+(U15*(1-K15)*(1-P15)*(1-Z15))+(Z15*(1-K15)*(1-P15)*(1-U15))</f>
        <v>0.39466439887986882</v>
      </c>
      <c r="R21" s="1">
        <f t="shared" ref="R21:R23" si="3">Q21*(L$7*(J$5*K$5+L$5)+I$5)</f>
        <v>13909.946738520977</v>
      </c>
    </row>
    <row r="22" spans="1:34" ht="24.75" x14ac:dyDescent="0.25">
      <c r="A22" s="1"/>
      <c r="B22" s="1"/>
      <c r="C22" s="1"/>
      <c r="D22" s="62" t="s">
        <v>52</v>
      </c>
      <c r="E22" s="1">
        <f>AB14*AB15</f>
        <v>0.99988661269469703</v>
      </c>
      <c r="F22" s="59">
        <f>MAX(AC15-F15,0)</f>
        <v>0</v>
      </c>
      <c r="G22" s="62" t="s">
        <v>56</v>
      </c>
      <c r="H22" s="1">
        <f>AA14*AB15*AB16+AA15*AB14*AB16*+AA16*AB14*AB15</f>
        <v>6.8180976232100804E-7</v>
      </c>
      <c r="I22" s="1">
        <f>AC16+1*L7-F16</f>
        <v>121.66666666666666</v>
      </c>
      <c r="J22" s="62" t="s">
        <v>60</v>
      </c>
      <c r="K22" s="1">
        <f>AA14*AA15*AB16*AB17 + AA14*AA16*AB15*AB17 + AA14*AA17*AB15*AB16 + AA15*AA16*AB14*AB17 + AA15*AA17*AB14*AB16 + AA16*AA17*AB14*AB15</f>
        <v>1.5983657050451735E-5</v>
      </c>
      <c r="L22" s="1">
        <f>AC17+2*L7-F17</f>
        <v>147.33333333333331</v>
      </c>
      <c r="M22" s="1">
        <f>B22*C22*AH14+E22*F22*AH15+H22*I22*AH16+K22*L22*AH17</f>
        <v>0.20348680597178609</v>
      </c>
      <c r="O22" s="1" t="s">
        <v>29</v>
      </c>
      <c r="P22" s="1">
        <f>2*(F7*(J5*K5+L5)+H7)</f>
        <v>28200</v>
      </c>
      <c r="Q22" s="1">
        <f t="shared" si="2"/>
        <v>0.46837630322953872</v>
      </c>
      <c r="R22" s="1">
        <f t="shared" si="3"/>
        <v>16507.922807325092</v>
      </c>
    </row>
    <row r="23" spans="1:34" ht="24.75" x14ac:dyDescent="0.25">
      <c r="A23" s="1"/>
      <c r="B23" s="1"/>
      <c r="C23" s="1"/>
      <c r="D23" s="1"/>
      <c r="E23" s="1"/>
      <c r="F23" s="1"/>
      <c r="G23" s="62" t="s">
        <v>52</v>
      </c>
      <c r="H23" s="1">
        <f>AB14*AB15*AB16</f>
        <v>0.99729705930824653</v>
      </c>
      <c r="I23" s="63">
        <f>AC16-F16</f>
        <v>109.66666666666666</v>
      </c>
      <c r="J23" s="62" t="s">
        <v>56</v>
      </c>
      <c r="K23" s="1">
        <f>AA14*AB15*AB16*AB17+AA15*AB14*AB16*AB17+AA16*AB14*AB15*AB17+AA17*AB14*AB15*AB16</f>
        <v>8.4772967847347447E-3</v>
      </c>
      <c r="L23" s="1">
        <f>AC17+1*L7-F17</f>
        <v>135.33333333333331</v>
      </c>
      <c r="M23" s="1">
        <f>B23*C23*AH14+E23*F23*AH15+H23*I23*AH16+K23*L23*AH17</f>
        <v>4472.3269375125728</v>
      </c>
      <c r="O23" s="1" t="s">
        <v>30</v>
      </c>
      <c r="P23" s="1">
        <v>0</v>
      </c>
      <c r="Q23" s="1">
        <f t="shared" si="2"/>
        <v>0.45110446806089105</v>
      </c>
      <c r="R23" s="1">
        <f t="shared" si="3"/>
        <v>15899.176976806106</v>
      </c>
    </row>
    <row r="24" spans="1:34" ht="30" x14ac:dyDescent="0.25">
      <c r="I24" s="84"/>
      <c r="J24" s="62" t="s">
        <v>52</v>
      </c>
      <c r="K24" s="85">
        <f>AB14*AB15*AB16*AB17</f>
        <v>0.99150671785286959</v>
      </c>
      <c r="L24" s="1">
        <f>AC17+0*L7-F17</f>
        <v>123.33333333333331</v>
      </c>
      <c r="M24" s="1">
        <f>B24*C24*AH14+E24*F24*AH15+H24*I24*AH16+K24*L24*AH17</f>
        <v>10394.295425490915</v>
      </c>
      <c r="O24" s="64" t="s">
        <v>65</v>
      </c>
      <c r="P24" s="65">
        <f>SUM(P20:P23)</f>
        <v>37280</v>
      </c>
      <c r="Q24" s="96" t="s">
        <v>108</v>
      </c>
      <c r="R24" s="97">
        <f>SUM(R20:R23)</f>
        <v>51270.586989527015</v>
      </c>
    </row>
    <row r="25" spans="1:34" x14ac:dyDescent="0.25">
      <c r="L25" s="176" t="s">
        <v>63</v>
      </c>
      <c r="M25" s="177">
        <f>SUM(M20:M24)</f>
        <v>14866.910593886543</v>
      </c>
    </row>
    <row r="26" spans="1:34" x14ac:dyDescent="0.25">
      <c r="L26" s="176"/>
      <c r="M26" s="177"/>
    </row>
    <row r="27" spans="1:34" x14ac:dyDescent="0.25">
      <c r="A27" s="178" t="s">
        <v>90</v>
      </c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</row>
    <row r="28" spans="1:34" ht="15.75" x14ac:dyDescent="0.25">
      <c r="A28" s="87" t="s">
        <v>76</v>
      </c>
      <c r="B28" s="62" t="s">
        <v>49</v>
      </c>
      <c r="C28" s="90" t="s">
        <v>102</v>
      </c>
      <c r="D28" s="62" t="s">
        <v>88</v>
      </c>
      <c r="E28" s="87" t="s">
        <v>77</v>
      </c>
      <c r="F28" s="62" t="s">
        <v>57</v>
      </c>
      <c r="G28" s="90" t="s">
        <v>78</v>
      </c>
      <c r="H28" s="62" t="s">
        <v>88</v>
      </c>
      <c r="I28" s="87" t="s">
        <v>75</v>
      </c>
      <c r="J28" s="62" t="s">
        <v>61</v>
      </c>
      <c r="K28" s="90" t="s">
        <v>87</v>
      </c>
      <c r="L28" s="62" t="s">
        <v>88</v>
      </c>
      <c r="M28" s="87" t="s">
        <v>86</v>
      </c>
      <c r="N28" s="62" t="s">
        <v>84</v>
      </c>
      <c r="O28" s="90" t="s">
        <v>103</v>
      </c>
      <c r="P28" s="62" t="s">
        <v>88</v>
      </c>
    </row>
    <row r="29" spans="1:34" ht="24.75" x14ac:dyDescent="0.25">
      <c r="A29" s="62" t="s">
        <v>51</v>
      </c>
      <c r="B29" s="86">
        <v>3.9101438569080559E-7</v>
      </c>
      <c r="C29" s="86">
        <f>AC14+1*L7</f>
        <v>57.666666666666664</v>
      </c>
      <c r="D29" s="86">
        <f>MAX(B29*1.5*((C29-F14)*500/2),0)</f>
        <v>0</v>
      </c>
      <c r="E29" s="62" t="s">
        <v>55</v>
      </c>
      <c r="F29" s="86">
        <v>4.4183192554647236E-11</v>
      </c>
      <c r="G29" s="86">
        <f>AC15+2*L7</f>
        <v>124.66666666666666</v>
      </c>
      <c r="H29" s="86">
        <f>F29*1.5*((G29-F15)*500/2+(G29-F16)*500)</f>
        <v>1.9219688761271546E-6</v>
      </c>
      <c r="I29" s="62" t="s">
        <v>59</v>
      </c>
      <c r="J29" s="86">
        <v>1.1442771055383096E-13</v>
      </c>
      <c r="K29" s="86">
        <f>AC16+3*L7</f>
        <v>221.66666666666666</v>
      </c>
      <c r="L29" s="86">
        <f>J29*1.5*((K29-G29)*500/2+(K29-F17)*500)</f>
        <v>1.1171005242817747E-8</v>
      </c>
      <c r="M29" s="62" t="s">
        <v>83</v>
      </c>
      <c r="N29" s="86">
        <v>6.6437127220981648E-16</v>
      </c>
      <c r="O29" s="86">
        <f>AC17+4*L7</f>
        <v>311.33333333333331</v>
      </c>
      <c r="P29" s="86">
        <f>N29*1.5*((O29-K29)*500/2)</f>
        <v>2.2339484028055078E-11</v>
      </c>
    </row>
    <row r="30" spans="1:34" ht="24.75" x14ac:dyDescent="0.25">
      <c r="A30" s="62" t="s">
        <v>52</v>
      </c>
      <c r="B30" s="86">
        <v>0.99999960898561435</v>
      </c>
      <c r="C30" s="88">
        <f>AC14</f>
        <v>45.666666666666664</v>
      </c>
      <c r="D30" s="86">
        <f>MAX(B30*1.5*((C30-F14)*500/2),0)</f>
        <v>0</v>
      </c>
      <c r="E30" s="62" t="s">
        <v>56</v>
      </c>
      <c r="F30" s="86">
        <v>1.1338726111983848E-4</v>
      </c>
      <c r="G30" s="86">
        <f>AC15+1*L7</f>
        <v>112.66666666666666</v>
      </c>
      <c r="H30" s="86">
        <f>F30*1.5*((G30-F15)*500/2+(G30-F16)*500)</f>
        <v>3.4016178335951532</v>
      </c>
      <c r="I30" s="62" t="s">
        <v>60</v>
      </c>
      <c r="J30" s="86">
        <v>2.9369973160235993E-7</v>
      </c>
      <c r="K30" s="86">
        <f>AC16+2*L7</f>
        <v>209.66666666666666</v>
      </c>
      <c r="L30" s="86">
        <f>J30*1.5*((K30-G30)*500/2+(K30-F17)*500)</f>
        <v>2.6029138713259146E-2</v>
      </c>
      <c r="M30" s="62" t="s">
        <v>59</v>
      </c>
      <c r="N30" s="86">
        <v>1.699209849682364E-9</v>
      </c>
      <c r="O30" s="86">
        <f>AC17+3*L7</f>
        <v>299.33333333333331</v>
      </c>
      <c r="P30" s="86">
        <f>N30*1.5*((O30-K30)*500/2)</f>
        <v>5.713593119556948E-5</v>
      </c>
    </row>
    <row r="31" spans="1:34" x14ac:dyDescent="0.25">
      <c r="A31" s="86"/>
      <c r="B31" s="86"/>
      <c r="C31" s="89" t="s">
        <v>89</v>
      </c>
      <c r="D31" s="89">
        <f>SUM(D29:D30)</f>
        <v>0</v>
      </c>
      <c r="E31" s="62" t="s">
        <v>52</v>
      </c>
      <c r="F31" s="86">
        <v>0.99988661269469703</v>
      </c>
      <c r="G31" s="86">
        <f>AC15+0*L7</f>
        <v>100.66666666666666</v>
      </c>
      <c r="H31" s="86">
        <f>F31*1.5*((G31-F16)*500)</f>
        <v>18497.902334851889</v>
      </c>
      <c r="I31" s="62" t="s">
        <v>56</v>
      </c>
      <c r="J31" s="86">
        <v>6.8180976232100804E-7</v>
      </c>
      <c r="K31" s="86">
        <f>AC16+1*L7</f>
        <v>197.66666666666666</v>
      </c>
      <c r="L31" s="86">
        <f>J31*1.5*((K31-G31)*500/2+(K31-F17)*500)</f>
        <v>5.4289102324810261E-2</v>
      </c>
      <c r="M31" s="62" t="s">
        <v>60</v>
      </c>
      <c r="N31" s="86">
        <v>1.5983657050451735E-5</v>
      </c>
      <c r="O31" s="86">
        <f>AC17+2*L7</f>
        <v>287.33333333333331</v>
      </c>
      <c r="P31" s="86">
        <f>N31*1.5*((O31-K31)*500/2)</f>
        <v>0.5374504683214395</v>
      </c>
    </row>
    <row r="32" spans="1:34" x14ac:dyDescent="0.25">
      <c r="A32" s="86"/>
      <c r="B32" s="86"/>
      <c r="C32" s="86"/>
      <c r="D32" s="86"/>
      <c r="E32" s="86"/>
      <c r="F32" s="86"/>
      <c r="G32" s="89" t="s">
        <v>79</v>
      </c>
      <c r="H32" s="89">
        <f>SUM(H29:H31)</f>
        <v>18501.303954607454</v>
      </c>
      <c r="I32" s="62" t="s">
        <v>52</v>
      </c>
      <c r="J32" s="86">
        <v>0.99729705930824653</v>
      </c>
      <c r="K32" s="86">
        <f>AC16+0*L7</f>
        <v>185.66666666666666</v>
      </c>
      <c r="L32" s="86">
        <f>J32*1.5*((K32-G31)*500/2+(K32-F17)*500)</f>
        <v>65946.268046757803</v>
      </c>
      <c r="M32" s="62" t="s">
        <v>56</v>
      </c>
      <c r="N32" s="86">
        <v>8.4772967847347447E-3</v>
      </c>
      <c r="O32" s="86">
        <f>AC17+1*L7</f>
        <v>275.33333333333331</v>
      </c>
      <c r="P32" s="86">
        <f>N32*1.5*((O32-K32)*500/2)</f>
        <v>285.04910438670578</v>
      </c>
    </row>
    <row r="33" spans="1:22" ht="15" customHeight="1" x14ac:dyDescent="0.25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9" t="s">
        <v>79</v>
      </c>
      <c r="L33" s="89">
        <f>SUM(L29:L32)</f>
        <v>65946.34836501001</v>
      </c>
      <c r="M33" s="62" t="s">
        <v>52</v>
      </c>
      <c r="N33" s="86">
        <v>0.99150671785286959</v>
      </c>
      <c r="O33" s="86">
        <f>AC17+0*L7</f>
        <v>263.33333333333331</v>
      </c>
      <c r="P33" s="86">
        <f>N33*1.5*((O33-K32)*500/2)</f>
        <v>28877.633157464821</v>
      </c>
      <c r="Q33" s="179" t="s">
        <v>80</v>
      </c>
      <c r="R33" s="179"/>
      <c r="S33" s="180">
        <f>D31+H32+L33+P34</f>
        <v>113610.87208907327</v>
      </c>
      <c r="T33" s="180"/>
    </row>
    <row r="34" spans="1:22" ht="15" customHeight="1" x14ac:dyDescent="0.25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9" t="s">
        <v>79</v>
      </c>
      <c r="P34" s="89">
        <f>SUM(P29:P33)</f>
        <v>29163.219769455802</v>
      </c>
      <c r="Q34" s="179"/>
      <c r="R34" s="179"/>
      <c r="S34" s="180"/>
      <c r="T34" s="180"/>
    </row>
    <row r="35" spans="1:22" x14ac:dyDescent="0.25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</row>
    <row r="36" spans="1:22" x14ac:dyDescent="0.25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</row>
    <row r="37" spans="1:22" x14ac:dyDescent="0.25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</row>
    <row r="38" spans="1:22" ht="27.75" customHeight="1" thickBot="1" x14ac:dyDescent="0.3">
      <c r="O38" s="131" t="s">
        <v>81</v>
      </c>
      <c r="P38" s="131"/>
      <c r="Q38" s="131">
        <f>(R24+P24+M25+S33)/AC17</f>
        <v>824.1583658448867</v>
      </c>
      <c r="R38" s="131"/>
    </row>
    <row r="39" spans="1:22" x14ac:dyDescent="0.25">
      <c r="A39" s="181" t="s">
        <v>94</v>
      </c>
      <c r="B39" s="182"/>
    </row>
    <row r="40" spans="1:22" ht="15.75" thickBot="1" x14ac:dyDescent="0.3">
      <c r="A40" s="183"/>
      <c r="B40" s="184"/>
    </row>
    <row r="41" spans="1:22" ht="21" x14ac:dyDescent="0.35">
      <c r="A41" s="185" t="s">
        <v>14</v>
      </c>
      <c r="B41" s="18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O41" s="166" t="s">
        <v>72</v>
      </c>
      <c r="P41" s="166"/>
      <c r="Q41" s="166"/>
      <c r="R41" s="166"/>
      <c r="S41" s="166"/>
      <c r="T41" s="166"/>
      <c r="U41" s="166"/>
      <c r="V41" s="166"/>
    </row>
    <row r="42" spans="1:22" ht="36" x14ac:dyDescent="0.25">
      <c r="A42" s="4" t="s">
        <v>15</v>
      </c>
      <c r="B42" s="4" t="s">
        <v>16</v>
      </c>
      <c r="C42" s="4" t="s">
        <v>31</v>
      </c>
      <c r="D42" s="6" t="s">
        <v>17</v>
      </c>
      <c r="E42" s="6" t="s">
        <v>18</v>
      </c>
      <c r="F42" s="6" t="s">
        <v>19</v>
      </c>
      <c r="G42" s="6" t="s">
        <v>20</v>
      </c>
      <c r="H42" s="6" t="s">
        <v>21</v>
      </c>
      <c r="I42" s="6" t="s">
        <v>22</v>
      </c>
      <c r="J42" s="6" t="s">
        <v>23</v>
      </c>
      <c r="K42" s="6" t="s">
        <v>24</v>
      </c>
      <c r="L42" s="6" t="s">
        <v>25</v>
      </c>
      <c r="M42" s="6" t="s">
        <v>26</v>
      </c>
      <c r="N42" s="8"/>
      <c r="O42" s="167" t="s">
        <v>32</v>
      </c>
      <c r="P42" s="167" t="s">
        <v>35</v>
      </c>
      <c r="Q42" s="167" t="s">
        <v>66</v>
      </c>
      <c r="R42" s="99" t="s">
        <v>67</v>
      </c>
      <c r="S42" s="99" t="s">
        <v>68</v>
      </c>
      <c r="T42" s="167" t="s">
        <v>69</v>
      </c>
      <c r="U42" s="71" t="s">
        <v>33</v>
      </c>
      <c r="V42" s="99" t="s">
        <v>70</v>
      </c>
    </row>
    <row r="43" spans="1:22" x14ac:dyDescent="0.25">
      <c r="A43" s="3" t="s">
        <v>27</v>
      </c>
      <c r="B43" s="3">
        <v>0</v>
      </c>
      <c r="C43" s="3">
        <v>0.3</v>
      </c>
      <c r="D43" s="3">
        <v>243</v>
      </c>
      <c r="E43" s="3">
        <v>1.73</v>
      </c>
      <c r="F43" s="3">
        <v>5</v>
      </c>
      <c r="G43" s="169">
        <v>12</v>
      </c>
      <c r="H43" s="3">
        <v>1820</v>
      </c>
      <c r="I43" s="169">
        <v>19645</v>
      </c>
      <c r="J43" s="3">
        <v>20</v>
      </c>
      <c r="K43" s="3">
        <v>40</v>
      </c>
      <c r="L43" s="3">
        <v>500</v>
      </c>
      <c r="M43" s="3">
        <v>1000</v>
      </c>
      <c r="O43" s="168"/>
      <c r="P43" s="168"/>
      <c r="Q43" s="168"/>
      <c r="R43" s="72" t="s">
        <v>71</v>
      </c>
      <c r="S43" s="72" t="s">
        <v>71</v>
      </c>
      <c r="T43" s="168"/>
      <c r="U43" s="73">
        <v>500</v>
      </c>
      <c r="V43" s="3">
        <v>1.5</v>
      </c>
    </row>
    <row r="44" spans="1:22" x14ac:dyDescent="0.25">
      <c r="A44" s="3" t="s">
        <v>28</v>
      </c>
      <c r="B44" s="3">
        <v>0</v>
      </c>
      <c r="C44" s="3">
        <v>0.3</v>
      </c>
      <c r="D44" s="3">
        <v>254</v>
      </c>
      <c r="E44" s="3">
        <v>1.88</v>
      </c>
      <c r="F44" s="3">
        <v>3</v>
      </c>
      <c r="G44" s="170"/>
      <c r="H44" s="3">
        <v>2720</v>
      </c>
      <c r="I44" s="170"/>
      <c r="J44" s="5"/>
      <c r="K44" s="5"/>
      <c r="L44" s="5"/>
      <c r="M44" s="5"/>
      <c r="O44" s="74">
        <v>1</v>
      </c>
      <c r="P44" s="74">
        <v>106</v>
      </c>
      <c r="Q44" s="74">
        <v>110</v>
      </c>
      <c r="R44" s="74">
        <v>6</v>
      </c>
      <c r="S44" s="74">
        <v>5</v>
      </c>
      <c r="T44" s="74">
        <f>R44*$U$5/60+S44</f>
        <v>55</v>
      </c>
      <c r="U44" s="75"/>
    </row>
    <row r="45" spans="1:22" x14ac:dyDescent="0.25">
      <c r="A45" s="3" t="s">
        <v>29</v>
      </c>
      <c r="B45" s="3">
        <v>0</v>
      </c>
      <c r="C45" s="3">
        <v>0.3</v>
      </c>
      <c r="D45" s="3">
        <v>143</v>
      </c>
      <c r="E45" s="3">
        <v>2.4300000000000002</v>
      </c>
      <c r="F45" s="3">
        <v>8</v>
      </c>
      <c r="G45" s="170"/>
      <c r="H45" s="3">
        <v>3700</v>
      </c>
      <c r="I45" s="170"/>
      <c r="J45" s="5"/>
      <c r="K45" s="140" t="s">
        <v>73</v>
      </c>
      <c r="L45" s="141">
        <v>12</v>
      </c>
      <c r="M45" s="140" t="s">
        <v>74</v>
      </c>
      <c r="N45" s="141">
        <v>19645</v>
      </c>
      <c r="O45" s="74">
        <v>2</v>
      </c>
      <c r="P45" s="74">
        <v>76</v>
      </c>
      <c r="Q45" s="74">
        <v>40</v>
      </c>
      <c r="R45" s="74">
        <v>9</v>
      </c>
      <c r="S45" s="74">
        <v>2</v>
      </c>
      <c r="T45" s="74">
        <f t="shared" ref="T45:T47" si="4">R45*$U$5/60+S45</f>
        <v>77</v>
      </c>
      <c r="U45" s="75"/>
    </row>
    <row r="46" spans="1:22" x14ac:dyDescent="0.25">
      <c r="A46" s="3" t="s">
        <v>30</v>
      </c>
      <c r="B46" s="3">
        <v>0</v>
      </c>
      <c r="C46" s="3">
        <v>0.3</v>
      </c>
      <c r="D46" s="3">
        <v>449</v>
      </c>
      <c r="E46" s="3">
        <v>2.5299999999999998</v>
      </c>
      <c r="F46" s="3">
        <v>4</v>
      </c>
      <c r="G46" s="171"/>
      <c r="H46" s="3">
        <v>4320</v>
      </c>
      <c r="I46" s="171"/>
      <c r="J46" s="5"/>
      <c r="K46" s="140"/>
      <c r="L46" s="141"/>
      <c r="M46" s="140"/>
      <c r="N46" s="141"/>
      <c r="O46" s="74">
        <v>3</v>
      </c>
      <c r="P46" s="74">
        <v>95</v>
      </c>
      <c r="Q46" s="74">
        <v>67</v>
      </c>
      <c r="R46" s="74">
        <v>5</v>
      </c>
      <c r="S46" s="74">
        <v>4</v>
      </c>
      <c r="T46" s="74">
        <f t="shared" si="4"/>
        <v>45.666666666666664</v>
      </c>
      <c r="U46" s="75"/>
    </row>
    <row r="47" spans="1:22" ht="15.75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O47" s="74">
        <v>4</v>
      </c>
      <c r="P47" s="74">
        <v>140</v>
      </c>
      <c r="Q47" s="94">
        <v>85</v>
      </c>
      <c r="R47" s="94">
        <v>8</v>
      </c>
      <c r="S47" s="94">
        <v>3</v>
      </c>
      <c r="T47" s="74">
        <f t="shared" si="4"/>
        <v>69.666666666666671</v>
      </c>
    </row>
    <row r="48" spans="1:22" ht="15" customHeight="1" x14ac:dyDescent="0.25">
      <c r="A48" s="172" t="s">
        <v>104</v>
      </c>
      <c r="B48" s="144" t="s">
        <v>105</v>
      </c>
      <c r="C48" s="144"/>
      <c r="D48" s="144"/>
      <c r="E48" s="144"/>
      <c r="F48" s="20" t="s">
        <v>27</v>
      </c>
      <c r="G48" s="20" t="s">
        <v>28</v>
      </c>
      <c r="H48" s="20" t="s">
        <v>29</v>
      </c>
      <c r="I48" s="20" t="s">
        <v>30</v>
      </c>
    </row>
    <row r="49" spans="1:34" ht="15.75" customHeight="1" thickBot="1" x14ac:dyDescent="0.3">
      <c r="A49" s="173"/>
      <c r="B49" s="145"/>
      <c r="C49" s="145"/>
      <c r="D49" s="145"/>
      <c r="E49" s="145"/>
      <c r="F49" s="20">
        <v>84</v>
      </c>
      <c r="G49" s="26">
        <v>84</v>
      </c>
      <c r="H49" s="26">
        <v>84</v>
      </c>
      <c r="I49" s="26">
        <v>252</v>
      </c>
    </row>
    <row r="50" spans="1:34" ht="15.75" customHeight="1" thickBot="1" x14ac:dyDescent="0.3">
      <c r="A50" s="173"/>
      <c r="B50" s="145"/>
      <c r="C50" s="145"/>
      <c r="D50" s="145"/>
      <c r="E50" s="145"/>
      <c r="F50" s="7"/>
      <c r="G50" s="146" t="s">
        <v>27</v>
      </c>
      <c r="H50" s="147"/>
      <c r="I50" s="147"/>
      <c r="J50" s="147"/>
      <c r="K50" s="148"/>
      <c r="L50" s="149" t="s">
        <v>28</v>
      </c>
      <c r="M50" s="150"/>
      <c r="N50" s="150"/>
      <c r="O50" s="150"/>
      <c r="P50" s="151"/>
      <c r="Q50" s="152" t="s">
        <v>29</v>
      </c>
      <c r="R50" s="153"/>
      <c r="S50" s="153"/>
      <c r="T50" s="153"/>
      <c r="U50" s="154"/>
      <c r="V50" s="155" t="s">
        <v>30</v>
      </c>
      <c r="W50" s="156"/>
      <c r="X50" s="156"/>
      <c r="Y50" s="156"/>
      <c r="Z50" s="157"/>
      <c r="AA50" s="158" t="s">
        <v>42</v>
      </c>
      <c r="AB50" s="159"/>
      <c r="AC50" s="160" t="s">
        <v>44</v>
      </c>
      <c r="AD50" s="162" t="s">
        <v>47</v>
      </c>
      <c r="AE50" s="163"/>
      <c r="AF50" s="163"/>
      <c r="AG50" s="164"/>
      <c r="AH50" s="138" t="s">
        <v>62</v>
      </c>
    </row>
    <row r="51" spans="1:34" ht="36.75" x14ac:dyDescent="0.25">
      <c r="A51" s="21" t="s">
        <v>32</v>
      </c>
      <c r="B51" s="22" t="s">
        <v>37</v>
      </c>
      <c r="C51" s="23" t="s">
        <v>33</v>
      </c>
      <c r="D51" s="22" t="s">
        <v>38</v>
      </c>
      <c r="E51" s="22" t="s">
        <v>34</v>
      </c>
      <c r="F51" s="25" t="s">
        <v>35</v>
      </c>
      <c r="G51" s="27" t="s">
        <v>39</v>
      </c>
      <c r="H51" s="10" t="s">
        <v>40</v>
      </c>
      <c r="I51" s="10" t="s">
        <v>45</v>
      </c>
      <c r="J51" s="10" t="s">
        <v>46</v>
      </c>
      <c r="K51" s="28" t="s">
        <v>41</v>
      </c>
      <c r="L51" s="30" t="s">
        <v>39</v>
      </c>
      <c r="M51" s="13" t="s">
        <v>40</v>
      </c>
      <c r="N51" s="13" t="s">
        <v>45</v>
      </c>
      <c r="O51" s="13" t="s">
        <v>46</v>
      </c>
      <c r="P51" s="31" t="s">
        <v>41</v>
      </c>
      <c r="Q51" s="33" t="s">
        <v>39</v>
      </c>
      <c r="R51" s="12" t="s">
        <v>40</v>
      </c>
      <c r="S51" s="12" t="s">
        <v>45</v>
      </c>
      <c r="T51" s="12" t="s">
        <v>46</v>
      </c>
      <c r="U51" s="34" t="s">
        <v>41</v>
      </c>
      <c r="V51" s="36" t="s">
        <v>39</v>
      </c>
      <c r="W51" s="11" t="s">
        <v>40</v>
      </c>
      <c r="X51" s="11" t="s">
        <v>45</v>
      </c>
      <c r="Y51" s="11" t="s">
        <v>46</v>
      </c>
      <c r="Z51" s="37" t="s">
        <v>41</v>
      </c>
      <c r="AA51" s="39" t="s">
        <v>41</v>
      </c>
      <c r="AB51" s="40" t="s">
        <v>43</v>
      </c>
      <c r="AC51" s="161"/>
      <c r="AD51" s="43" t="s">
        <v>27</v>
      </c>
      <c r="AE51" s="1" t="s">
        <v>28</v>
      </c>
      <c r="AF51" s="1" t="s">
        <v>29</v>
      </c>
      <c r="AG51" s="1" t="s">
        <v>30</v>
      </c>
      <c r="AH51" s="139"/>
    </row>
    <row r="52" spans="1:34" x14ac:dyDescent="0.25">
      <c r="A52" s="24">
        <v>3</v>
      </c>
      <c r="B52" s="9">
        <v>5</v>
      </c>
      <c r="C52" s="9">
        <v>500</v>
      </c>
      <c r="D52" s="9">
        <v>4</v>
      </c>
      <c r="E52" s="48">
        <f>B52*C52/60+D52</f>
        <v>45.666666666666664</v>
      </c>
      <c r="F52" s="14">
        <v>95</v>
      </c>
      <c r="G52" s="49">
        <f>B$5*(1-AD52*C$5)</f>
        <v>0</v>
      </c>
      <c r="H52" s="50">
        <f>G52+E52</f>
        <v>45.666666666666664</v>
      </c>
      <c r="I52" s="15">
        <f>(H52/D$5)^E$5</f>
        <v>5.5463587496332782E-2</v>
      </c>
      <c r="J52" s="15">
        <f>(G52/D$5)^E$5</f>
        <v>0</v>
      </c>
      <c r="K52" s="29">
        <f>1-EXP(J52-I52)</f>
        <v>5.3953529036131931E-2</v>
      </c>
      <c r="L52" s="51">
        <f>B$6*(1-AE52*C$6)</f>
        <v>0</v>
      </c>
      <c r="M52" s="52">
        <f>L52+E52</f>
        <v>45.666666666666664</v>
      </c>
      <c r="N52" s="17">
        <f>(M52/D$6)^E$6</f>
        <v>3.9715434673642101E-2</v>
      </c>
      <c r="O52" s="17">
        <f>(L52/D$6)^E$6</f>
        <v>0</v>
      </c>
      <c r="P52" s="32">
        <f>1-EXP(O52-N52)</f>
        <v>3.8937114582545562E-2</v>
      </c>
      <c r="Q52" s="53">
        <f>B$7*(1-AF52*C$7)</f>
        <v>0</v>
      </c>
      <c r="R52" s="54">
        <f>Q52+E52</f>
        <v>45.666666666666664</v>
      </c>
      <c r="S52" s="16">
        <f>(R52/D$7)^E$7</f>
        <v>6.2425173515745024E-2</v>
      </c>
      <c r="T52" s="16">
        <f>(Q52/D$7)^E$7</f>
        <v>0</v>
      </c>
      <c r="U52" s="35">
        <f>1-EXP(T52-S52)</f>
        <v>6.0516641579816954E-2</v>
      </c>
      <c r="V52" s="55">
        <f>B$8*(1-AG52*C$8)</f>
        <v>0</v>
      </c>
      <c r="W52" s="56">
        <f>V52+E52</f>
        <v>45.666666666666664</v>
      </c>
      <c r="X52" s="18">
        <f>(W52/D$8)^E$8</f>
        <v>3.0803709406480337E-3</v>
      </c>
      <c r="Y52" s="18">
        <f>(V52/D$8)^E$8</f>
        <v>0</v>
      </c>
      <c r="Z52" s="38">
        <f>1-EXP(Y52-X52)</f>
        <v>3.0756314657778283E-3</v>
      </c>
      <c r="AA52" s="41">
        <f>K52*P52*U52*Z52</f>
        <v>3.9101438569080559E-7</v>
      </c>
      <c r="AB52" s="42">
        <f>1-AA52</f>
        <v>0.99999960898561435</v>
      </c>
      <c r="AC52" s="47">
        <f>(AD52*F$5+AE52*F$6+AF52*F$7+AG52*F$8)+E52</f>
        <v>45.666666666666664</v>
      </c>
      <c r="AD52" s="43">
        <v>0</v>
      </c>
      <c r="AE52" s="1">
        <v>0</v>
      </c>
      <c r="AF52" s="1">
        <v>0</v>
      </c>
      <c r="AG52" s="1">
        <v>0</v>
      </c>
      <c r="AH52" s="44">
        <v>67</v>
      </c>
    </row>
    <row r="53" spans="1:34" x14ac:dyDescent="0.25">
      <c r="A53" s="24">
        <v>1</v>
      </c>
      <c r="B53" s="9">
        <v>6</v>
      </c>
      <c r="C53" s="9">
        <v>500</v>
      </c>
      <c r="D53" s="9">
        <v>5</v>
      </c>
      <c r="E53" s="9">
        <f t="shared" ref="E53:E55" si="5">B53*C53/60+D53</f>
        <v>55</v>
      </c>
      <c r="F53" s="14">
        <v>106</v>
      </c>
      <c r="G53" s="49">
        <f>H52*(1-AD53*C$5)</f>
        <v>45.666666666666664</v>
      </c>
      <c r="H53" s="50">
        <f>G53+E53</f>
        <v>100.66666666666666</v>
      </c>
      <c r="I53" s="15">
        <f>(H53/D$5)^E$5</f>
        <v>0.21771752434165836</v>
      </c>
      <c r="J53" s="15">
        <f>(G53/D$5)^E$5</f>
        <v>5.5463587496332782E-2</v>
      </c>
      <c r="K53" s="29">
        <f>1-EXP(J53-I53)</f>
        <v>0.14977472639881173</v>
      </c>
      <c r="L53" s="51">
        <f>M52*(1-AE53*C$6)</f>
        <v>45.666666666666664</v>
      </c>
      <c r="M53" s="52">
        <f>L53+E53</f>
        <v>100.66666666666666</v>
      </c>
      <c r="N53" s="17">
        <f>(M53/D$6)^E$6</f>
        <v>0.17552448466860393</v>
      </c>
      <c r="O53" s="17">
        <f>(L53/D$6)^E$6</f>
        <v>3.9715434673642101E-2</v>
      </c>
      <c r="P53" s="32">
        <f>1-EXP(O53-N53)</f>
        <v>0.12699068229244426</v>
      </c>
      <c r="Q53" s="53">
        <f>R52*(1-AF53*C$7)</f>
        <v>45.666666666666664</v>
      </c>
      <c r="R53" s="54">
        <f>Q53+E53</f>
        <v>100.66666666666666</v>
      </c>
      <c r="S53" s="16">
        <f>(R53/D$7)^E$7</f>
        <v>0.42613347475170693</v>
      </c>
      <c r="T53" s="16">
        <f>(Q53/D$7)^E$7</f>
        <v>6.2425173515745024E-2</v>
      </c>
      <c r="U53" s="35">
        <f>1-EXP(T53-S53)</f>
        <v>0.30490607678805748</v>
      </c>
      <c r="V53" s="55">
        <f>W52*(1-AG53*C$8)</f>
        <v>45.666666666666664</v>
      </c>
      <c r="W53" s="56">
        <f>V53+E53</f>
        <v>100.66666666666666</v>
      </c>
      <c r="X53" s="18">
        <f>(W53/D$8)^E$8</f>
        <v>2.275713304339216E-2</v>
      </c>
      <c r="Y53" s="18">
        <f>(V53/D$8)^E$8</f>
        <v>3.0803709406480337E-3</v>
      </c>
      <c r="Z53" s="38">
        <f>1-EXP(Y53-X53)</f>
        <v>1.9484438122753578E-2</v>
      </c>
      <c r="AA53" s="41">
        <f>K53*P53*U53*Z53</f>
        <v>1.1299633510053277E-4</v>
      </c>
      <c r="AB53" s="42">
        <f>1-AA53</f>
        <v>0.99988700366489947</v>
      </c>
      <c r="AC53" s="47">
        <f>AF53*F$7+E53+AC52</f>
        <v>100.66666666666666</v>
      </c>
      <c r="AD53" s="43">
        <v>0</v>
      </c>
      <c r="AE53" s="1">
        <v>0</v>
      </c>
      <c r="AF53" s="1">
        <v>0</v>
      </c>
      <c r="AG53" s="1">
        <v>0</v>
      </c>
      <c r="AH53" s="44">
        <v>110</v>
      </c>
    </row>
    <row r="54" spans="1:34" x14ac:dyDescent="0.25">
      <c r="A54" s="57">
        <v>4</v>
      </c>
      <c r="B54" s="58">
        <v>8</v>
      </c>
      <c r="C54" s="58">
        <v>500</v>
      </c>
      <c r="D54" s="58">
        <v>3</v>
      </c>
      <c r="E54" s="66">
        <f t="shared" si="5"/>
        <v>69.666666666666671</v>
      </c>
      <c r="F54" s="67">
        <v>140</v>
      </c>
      <c r="G54" s="68">
        <f>H53*(1-AD54*C$5)</f>
        <v>70.466666666666654</v>
      </c>
      <c r="H54" s="69">
        <f>G54+E54</f>
        <v>140.13333333333333</v>
      </c>
      <c r="I54" s="70">
        <f>(H54/D$5)^E$5</f>
        <v>0.38584942708200459</v>
      </c>
      <c r="J54" s="70">
        <f>(G54/D$5)^E$5</f>
        <v>0.11746622079432449</v>
      </c>
      <c r="K54" s="29">
        <f>1-EXP(J54-I54)</f>
        <v>0.2353852802132943</v>
      </c>
      <c r="L54" s="51">
        <f>M53*(1-AE54*C$6)</f>
        <v>70.466666666666654</v>
      </c>
      <c r="M54" s="52">
        <f>L54+E54</f>
        <v>140.13333333333333</v>
      </c>
      <c r="N54" s="17">
        <f>(M54/D$6)^E$6</f>
        <v>0.32689670548124367</v>
      </c>
      <c r="O54" s="17">
        <f>(L54/D$6)^E$6</f>
        <v>8.9768097666615101E-2</v>
      </c>
      <c r="P54" s="32">
        <f>1-EXP(O54-N54)</f>
        <v>0.21111017590303682</v>
      </c>
      <c r="Q54" s="53">
        <f>R53*(1-AF54*C$7)</f>
        <v>70.466666666666654</v>
      </c>
      <c r="R54" s="54">
        <f>Q54+E54</f>
        <v>140.13333333333333</v>
      </c>
      <c r="S54" s="16">
        <f>(R54/D$7)^E$7</f>
        <v>0.95198292505493443</v>
      </c>
      <c r="T54" s="16">
        <f>(Q54/D$7)^E$7</f>
        <v>0.17911579648738157</v>
      </c>
      <c r="U54" s="35">
        <f>1-EXP(T54-S54)</f>
        <v>0.53831254841918419</v>
      </c>
      <c r="V54" s="55">
        <f>W53*(1-AG54*C$8)</f>
        <v>100.66666666666666</v>
      </c>
      <c r="W54" s="56">
        <f>V54+E54</f>
        <v>170.33333333333331</v>
      </c>
      <c r="X54" s="18">
        <f>(W54/D$8)^E$8</f>
        <v>8.6100338756432845E-2</v>
      </c>
      <c r="Y54" s="18">
        <f>(V54/D$8)^E$8</f>
        <v>2.275713304339216E-2</v>
      </c>
      <c r="Z54" s="38">
        <f>1-EXP(Y54-X54)</f>
        <v>6.1378721782433199E-2</v>
      </c>
      <c r="AA54" s="41">
        <f>K54*P54*U54*Z54</f>
        <v>1.641877729125787E-3</v>
      </c>
      <c r="AB54" s="42">
        <f>1-AA54</f>
        <v>0.99835812227087417</v>
      </c>
      <c r="AC54" s="47">
        <f>(AF54*F$7)+E54+AC53</f>
        <v>178.33333333333331</v>
      </c>
      <c r="AD54" s="77">
        <v>1</v>
      </c>
      <c r="AE54" s="78">
        <v>1</v>
      </c>
      <c r="AF54" s="78">
        <v>1</v>
      </c>
      <c r="AG54" s="78">
        <v>0</v>
      </c>
      <c r="AH54" s="79">
        <v>85</v>
      </c>
    </row>
    <row r="55" spans="1:34" ht="15.75" thickBot="1" x14ac:dyDescent="0.3">
      <c r="A55" s="76">
        <v>2</v>
      </c>
      <c r="B55" s="58">
        <v>9</v>
      </c>
      <c r="C55" s="58">
        <v>500</v>
      </c>
      <c r="D55" s="58">
        <v>2</v>
      </c>
      <c r="E55" s="66">
        <f t="shared" si="5"/>
        <v>77</v>
      </c>
      <c r="F55" s="67">
        <v>76</v>
      </c>
      <c r="G55" s="68">
        <f>H54*(1-AD55*C$5)</f>
        <v>98.09333333333332</v>
      </c>
      <c r="H55" s="69">
        <f>G55+E55</f>
        <v>175.09333333333331</v>
      </c>
      <c r="I55" s="70">
        <f>(H55/D$5)^E$5</f>
        <v>0.56722788558876358</v>
      </c>
      <c r="J55" s="70">
        <f>(G55/D$5)^E$5</f>
        <v>0.20817926408097581</v>
      </c>
      <c r="K55" s="29">
        <f>1-EXP(J55-I55)</f>
        <v>0.30165960383690649</v>
      </c>
      <c r="L55" s="51">
        <f>M54*(1-AE55*C$6)</f>
        <v>98.09333333333332</v>
      </c>
      <c r="M55" s="52">
        <f>L55+E55</f>
        <v>175.09333333333331</v>
      </c>
      <c r="N55" s="17">
        <f>(M55/D$6)^E$6</f>
        <v>0.49688911241375849</v>
      </c>
      <c r="O55" s="17">
        <f>(L55/D$6)^E$6</f>
        <v>0.16718405662856181</v>
      </c>
      <c r="P55" s="32">
        <f>1-EXP(O55-N55)</f>
        <v>0.28086419289859976</v>
      </c>
      <c r="Q55" s="53">
        <f>R54*(1-AF55*C$7)</f>
        <v>98.09333333333332</v>
      </c>
      <c r="R55" s="54">
        <f>Q55+E55</f>
        <v>175.09333333333331</v>
      </c>
      <c r="S55" s="16">
        <f>(R55/D$7)^E$7</f>
        <v>1.6356055775969487</v>
      </c>
      <c r="T55" s="16">
        <f>(Q55/D$7)^E$7</f>
        <v>0.40014500142931764</v>
      </c>
      <c r="U55" s="35">
        <f>1-EXP(T55-S55)</f>
        <v>0.70929915834970092</v>
      </c>
      <c r="V55" s="55">
        <f>W54*(1-AG55*C$8)</f>
        <v>170.33333333333331</v>
      </c>
      <c r="W55" s="56">
        <f>V55+E55</f>
        <v>247.33333333333331</v>
      </c>
      <c r="X55" s="18">
        <f>(W55/D$8)^E$8</f>
        <v>0.221218713919872</v>
      </c>
      <c r="Y55" s="18">
        <f>(V55/D$8)^E$8</f>
        <v>8.6100338756432845E-2</v>
      </c>
      <c r="Z55" s="38">
        <f>1-EXP(Y55-X55)</f>
        <v>0.12638750845450208</v>
      </c>
      <c r="AA55" s="41">
        <f>K55*P55*U55*Z55</f>
        <v>7.5953384043399306E-3</v>
      </c>
      <c r="AB55" s="42">
        <f>1-AA55</f>
        <v>0.9924046615956601</v>
      </c>
      <c r="AC55" s="47">
        <f>(AF55*F$7)+E55+AC54</f>
        <v>263.33333333333331</v>
      </c>
      <c r="AD55" s="80">
        <v>1</v>
      </c>
      <c r="AE55" s="45">
        <v>1</v>
      </c>
      <c r="AF55" s="81">
        <v>1</v>
      </c>
      <c r="AG55" s="45">
        <v>0</v>
      </c>
      <c r="AH55" s="82">
        <v>40</v>
      </c>
    </row>
    <row r="56" spans="1:34" ht="18.75" x14ac:dyDescent="0.3">
      <c r="A56" s="132" t="s">
        <v>53</v>
      </c>
      <c r="B56" s="132"/>
      <c r="C56" s="132"/>
      <c r="D56" s="132"/>
      <c r="E56" s="132"/>
      <c r="F56" s="132"/>
      <c r="G56" s="132"/>
      <c r="H56" s="132"/>
      <c r="I56" s="132"/>
      <c r="J56" s="132"/>
      <c r="AG56" s="46"/>
    </row>
    <row r="57" spans="1:34" ht="15.75" x14ac:dyDescent="0.25">
      <c r="A57" s="19" t="s">
        <v>54</v>
      </c>
      <c r="B57" s="60" t="s">
        <v>49</v>
      </c>
      <c r="C57" s="61" t="s">
        <v>50</v>
      </c>
      <c r="D57" s="19" t="s">
        <v>58</v>
      </c>
      <c r="E57" s="60" t="s">
        <v>57</v>
      </c>
      <c r="F57" s="61" t="s">
        <v>50</v>
      </c>
      <c r="G57" s="19" t="s">
        <v>82</v>
      </c>
      <c r="H57" s="60" t="s">
        <v>61</v>
      </c>
      <c r="I57" s="61" t="s">
        <v>50</v>
      </c>
      <c r="J57" s="19" t="s">
        <v>48</v>
      </c>
      <c r="K57" s="83" t="s">
        <v>84</v>
      </c>
      <c r="L57" s="61" t="s">
        <v>50</v>
      </c>
      <c r="M57" s="61" t="s">
        <v>85</v>
      </c>
      <c r="O57" s="174" t="s">
        <v>64</v>
      </c>
      <c r="P57" s="174"/>
      <c r="Q57" s="175" t="s">
        <v>109</v>
      </c>
      <c r="R57" s="175"/>
    </row>
    <row r="58" spans="1:34" ht="24.75" x14ac:dyDescent="0.25">
      <c r="A58" s="61" t="s">
        <v>51</v>
      </c>
      <c r="B58" s="1">
        <f>AA52</f>
        <v>3.9101438569080559E-7</v>
      </c>
      <c r="C58" s="59">
        <f>MAX(AC52+1*L45-F52,0)</f>
        <v>0</v>
      </c>
      <c r="D58" s="62" t="s">
        <v>55</v>
      </c>
      <c r="E58" s="1">
        <f>AA52*AA53</f>
        <v>4.4183192554647236E-11</v>
      </c>
      <c r="F58" s="1">
        <f>MAX(AC53+2*L45-F53,0)</f>
        <v>18.666666666666657</v>
      </c>
      <c r="G58" s="62" t="s">
        <v>59</v>
      </c>
      <c r="H58" s="1">
        <f>AA52*AA53*AA54</f>
        <v>7.2543399857151584E-14</v>
      </c>
      <c r="I58" s="1">
        <f>AC54+3*L45-F54</f>
        <v>74.333333333333314</v>
      </c>
      <c r="J58" s="62" t="s">
        <v>83</v>
      </c>
      <c r="K58" s="1">
        <f>AA52*AA53*AA54*AA55</f>
        <v>5.5099167091641123E-16</v>
      </c>
      <c r="L58" s="1">
        <f>AC55+4*L45-F55</f>
        <v>235.33333333333331</v>
      </c>
      <c r="M58" s="1">
        <f>B58*C58*AH52+E58*F58*AH53+H58*I58*AH54+K58*L58*AH55</f>
        <v>9.1186362095235272E-8</v>
      </c>
      <c r="O58" s="1" t="s">
        <v>27</v>
      </c>
      <c r="P58" s="1">
        <f>2*H43</f>
        <v>3640</v>
      </c>
      <c r="Q58" s="1">
        <f>(K52*(1-P52)*(1-U52)*(1-Z52))+(P52*(1-K52)*(1-U52)*(1-Z52))+(U52*(1-K52)*(1-P52)*(1-Z52))+(Z52*(1-K52)*(1-P52)*(1-U52))</f>
        <v>0.1405459062810282</v>
      </c>
      <c r="R58" s="1">
        <f>Q58*(L$7*(J$5*K$5+L$5)+I$5)</f>
        <v>4953.5404668748388</v>
      </c>
    </row>
    <row r="59" spans="1:34" ht="24.75" x14ac:dyDescent="0.25">
      <c r="A59" s="62" t="s">
        <v>52</v>
      </c>
      <c r="B59" s="1">
        <f>AB52</f>
        <v>0.99999960898561435</v>
      </c>
      <c r="C59" s="59">
        <f>MAX(AC52-F52,0)</f>
        <v>0</v>
      </c>
      <c r="D59" s="62" t="s">
        <v>56</v>
      </c>
      <c r="E59" s="1">
        <f>AA52*AB53+AA53*AB52</f>
        <v>1.1338726111983848E-4</v>
      </c>
      <c r="F59" s="1">
        <f>MAX(AC53+1*L45-F53,0)</f>
        <v>6.6666666666666572</v>
      </c>
      <c r="G59" s="62" t="s">
        <v>60</v>
      </c>
      <c r="H59" s="1">
        <f>AA52*AA53*AB54+AA53*AA54*AB52+AA52*AA54*AB53</f>
        <v>1.8621212944838784E-7</v>
      </c>
      <c r="I59" s="1">
        <f>AC54+2*L45-F54</f>
        <v>62.333333333333314</v>
      </c>
      <c r="J59" s="62" t="s">
        <v>59</v>
      </c>
      <c r="K59">
        <f>AB52*AA53*AA54*AA55+AB53*AA52*AA54*AA55*+AB54*AA52*AA53*AA55+AB55*AA52*AA53*AA54</f>
        <v>1.4092054556113492E-9</v>
      </c>
      <c r="L59" s="1">
        <f>AC55+3*L45-F55</f>
        <v>223.33333333333331</v>
      </c>
      <c r="M59" s="1">
        <f>B59*C59*AH52+E59*F59*AH53+H59*I59*AH54+K59*L59*AH55</f>
        <v>8.4149860989145606E-2</v>
      </c>
      <c r="O59" s="1" t="s">
        <v>28</v>
      </c>
      <c r="P59" s="1">
        <f>2*H44</f>
        <v>5440</v>
      </c>
      <c r="Q59" s="1">
        <f t="shared" ref="Q59:Q61" si="6">(K53*(1-P53)*(1-U53)*(1-Z53))+(P53*(1-K53)*(1-U53)*(1-Z53))+(U53*(1-K53)*(1-P53)*(1-Z53))+(Z53*(1-K53)*(1-P53)*(1-U53))</f>
        <v>0.39466439887986882</v>
      </c>
      <c r="R59" s="1">
        <f t="shared" ref="R59:R61" si="7">Q59*(L$7*(J$5*K$5+L$5)+I$5)</f>
        <v>13909.946738520977</v>
      </c>
    </row>
    <row r="60" spans="1:34" ht="24.75" x14ac:dyDescent="0.25">
      <c r="A60" s="1"/>
      <c r="B60" s="1"/>
      <c r="C60" s="1"/>
      <c r="D60" s="62" t="s">
        <v>52</v>
      </c>
      <c r="E60" s="1">
        <f>AB52*AB53</f>
        <v>0.99988661269469703</v>
      </c>
      <c r="F60" s="59">
        <f>MAX(AC53-F53,0)</f>
        <v>0</v>
      </c>
      <c r="G60" s="62" t="s">
        <v>56</v>
      </c>
      <c r="H60" s="1">
        <f>AA52*AB53*AB54+AA53*AB52*AB54*+AA54*AB52*AB53</f>
        <v>5.7552875783510615E-7</v>
      </c>
      <c r="I60" s="1">
        <f>AC54+1*L45-F54</f>
        <v>50.333333333333314</v>
      </c>
      <c r="J60" s="62" t="s">
        <v>60</v>
      </c>
      <c r="K60" s="1">
        <f>AA52*AA53*AB54*AB55 + AA52*AA54*AB53*AB55 + AA52*AA55*AB53*AB54 + AA53*AA54*AB52*AB55 + AA53*AA55*AB52*AB54 + AA54*AA55*AB52*AB53</f>
        <v>1.3513801356759503E-5</v>
      </c>
      <c r="L60" s="1">
        <f>AC55+2*L45-F55</f>
        <v>211.33333333333331</v>
      </c>
      <c r="M60" s="1">
        <f>B60*C60*AH52+E60*F60*AH53+H60*I60*AH54+K60*L60*AH55</f>
        <v>0.11669897133807819</v>
      </c>
      <c r="O60" s="1" t="s">
        <v>29</v>
      </c>
      <c r="P60" s="1">
        <f>2*(F45*(J43*K43+L43)+H45)</f>
        <v>28200</v>
      </c>
      <c r="Q60" s="1">
        <f t="shared" si="6"/>
        <v>0.47229190224554984</v>
      </c>
      <c r="R60" s="1">
        <f t="shared" si="7"/>
        <v>16645.928094644405</v>
      </c>
    </row>
    <row r="61" spans="1:34" ht="24.75" x14ac:dyDescent="0.25">
      <c r="A61" s="1"/>
      <c r="B61" s="1"/>
      <c r="C61" s="1"/>
      <c r="D61" s="1"/>
      <c r="E61" s="1"/>
      <c r="F61" s="1"/>
      <c r="G61" s="62" t="s">
        <v>52</v>
      </c>
      <c r="H61" s="1">
        <f>AB52*AB53*AB54</f>
        <v>0.99824492113366259</v>
      </c>
      <c r="I61" s="63">
        <f>AC54-F54</f>
        <v>38.333333333333314</v>
      </c>
      <c r="J61" s="62" t="s">
        <v>56</v>
      </c>
      <c r="K61" s="1">
        <f>AA52*AB53*AB54*AB55+AA53*AB52*AB54*AB55+AA54*AB52*AB53*AB55+AA55*AB52*AB53*AB54</f>
        <v>9.3235716369878263E-3</v>
      </c>
      <c r="L61" s="1">
        <f>AC55+1*L45-F55</f>
        <v>199.33333333333331</v>
      </c>
      <c r="M61" s="1">
        <f>B61*C61*AH52+E61*F61*AH53+H61*I61*AH54+K61*L61*AH55</f>
        <v>3326.9546458794316</v>
      </c>
      <c r="O61" s="1" t="s">
        <v>30</v>
      </c>
      <c r="P61" s="1">
        <v>0</v>
      </c>
      <c r="Q61" s="1">
        <f t="shared" si="6"/>
        <v>0.43454586683249724</v>
      </c>
      <c r="R61" s="1">
        <f t="shared" si="7"/>
        <v>15315.569076511365</v>
      </c>
    </row>
    <row r="62" spans="1:34" ht="30" x14ac:dyDescent="0.25">
      <c r="I62" s="84"/>
      <c r="J62" s="62" t="s">
        <v>52</v>
      </c>
      <c r="K62" s="85">
        <f>AB52*AB53*AB54*AB55</f>
        <v>0.99066291314723887</v>
      </c>
      <c r="L62" s="1">
        <f>AC55+0*L45-F55</f>
        <v>187.33333333333331</v>
      </c>
      <c r="M62" s="1">
        <f>B62*C62*AH52+E62*F62*AH53+H62*I62*AH54+K62*L62*AH55</f>
        <v>7423.3674291833095</v>
      </c>
      <c r="O62" s="64" t="s">
        <v>65</v>
      </c>
      <c r="P62" s="65">
        <f>SUM(P58:P61)</f>
        <v>37280</v>
      </c>
      <c r="Q62" s="96" t="s">
        <v>108</v>
      </c>
      <c r="R62" s="97">
        <f>SUM(R58:R61)</f>
        <v>50824.984376551583</v>
      </c>
    </row>
    <row r="63" spans="1:34" x14ac:dyDescent="0.25">
      <c r="L63" s="176" t="s">
        <v>63</v>
      </c>
      <c r="M63" s="177">
        <f>SUM(M58:M62)</f>
        <v>10750.522923986255</v>
      </c>
    </row>
    <row r="64" spans="1:34" x14ac:dyDescent="0.25">
      <c r="L64" s="176"/>
      <c r="M64" s="177"/>
    </row>
    <row r="65" spans="1:22" x14ac:dyDescent="0.25">
      <c r="A65" s="178" t="s">
        <v>90</v>
      </c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</row>
    <row r="66" spans="1:22" ht="15.75" x14ac:dyDescent="0.25">
      <c r="A66" s="87" t="s">
        <v>76</v>
      </c>
      <c r="B66" s="62" t="s">
        <v>49</v>
      </c>
      <c r="C66" s="90" t="s">
        <v>102</v>
      </c>
      <c r="D66" s="62" t="s">
        <v>88</v>
      </c>
      <c r="E66" s="87" t="s">
        <v>77</v>
      </c>
      <c r="F66" s="62" t="s">
        <v>57</v>
      </c>
      <c r="G66" s="90" t="s">
        <v>78</v>
      </c>
      <c r="H66" s="62" t="s">
        <v>88</v>
      </c>
      <c r="I66" s="87" t="s">
        <v>86</v>
      </c>
      <c r="J66" s="62" t="s">
        <v>61</v>
      </c>
      <c r="K66" s="90" t="s">
        <v>103</v>
      </c>
      <c r="L66" s="62" t="s">
        <v>88</v>
      </c>
      <c r="M66" s="87" t="s">
        <v>75</v>
      </c>
      <c r="N66" s="62" t="s">
        <v>84</v>
      </c>
      <c r="O66" s="90" t="s">
        <v>87</v>
      </c>
      <c r="P66" s="62" t="s">
        <v>88</v>
      </c>
    </row>
    <row r="67" spans="1:22" ht="24.75" x14ac:dyDescent="0.25">
      <c r="A67" s="62" t="s">
        <v>51</v>
      </c>
      <c r="B67" s="86">
        <v>3.9101438569080559E-7</v>
      </c>
      <c r="C67" s="86">
        <f>AC52+1*L45</f>
        <v>57.666666666666664</v>
      </c>
      <c r="D67" s="86">
        <f>MAX(B67*1.5*((C67-F52)*500/2),0)</f>
        <v>0</v>
      </c>
      <c r="E67" s="62" t="s">
        <v>55</v>
      </c>
      <c r="F67" s="86">
        <v>4.4183192554647236E-11</v>
      </c>
      <c r="G67" s="86">
        <f>AC53+2*L45</f>
        <v>124.66666666666666</v>
      </c>
      <c r="H67" s="86">
        <f>F67*1.5*((G67-F53)*500/2+(G67-F55)*500)</f>
        <v>1.9219688761271546E-6</v>
      </c>
      <c r="I67" s="62" t="s">
        <v>59</v>
      </c>
      <c r="J67" s="86">
        <v>7.2543399857151584E-14</v>
      </c>
      <c r="K67" s="86">
        <f>AC54+3*L45</f>
        <v>214.33333333333331</v>
      </c>
      <c r="L67" s="86">
        <f>J67*1.5*((K67-F54)*500/2+(K67-G67)*500)</f>
        <v>6.900690911411543E-9</v>
      </c>
      <c r="M67" s="62" t="s">
        <v>83</v>
      </c>
      <c r="N67" s="86">
        <v>5.5099167091641123E-16</v>
      </c>
      <c r="O67" s="86">
        <f>AC55+4*L45</f>
        <v>311.33333333333331</v>
      </c>
      <c r="P67" s="86">
        <f>N67*1.5*((O67-K67)*500/2)</f>
        <v>2.0042322029584459E-11</v>
      </c>
    </row>
    <row r="68" spans="1:22" ht="24.75" x14ac:dyDescent="0.25">
      <c r="A68" s="62" t="s">
        <v>52</v>
      </c>
      <c r="B68" s="86">
        <v>0.99999960898561435</v>
      </c>
      <c r="C68" s="88">
        <f>AC52</f>
        <v>45.666666666666664</v>
      </c>
      <c r="D68" s="86">
        <f>MAX(B68*1.5*((C68-F52)*500/2),0)</f>
        <v>0</v>
      </c>
      <c r="E68" s="62" t="s">
        <v>56</v>
      </c>
      <c r="F68" s="86">
        <v>1.1338726111983848E-4</v>
      </c>
      <c r="G68" s="86">
        <f>AC53+1*L45</f>
        <v>112.66666666666666</v>
      </c>
      <c r="H68" s="86">
        <f>F68*1.5*((G68-F53)*500/2+(G68-F55)*500)</f>
        <v>3.4016178335951532</v>
      </c>
      <c r="I68" s="62" t="s">
        <v>60</v>
      </c>
      <c r="J68" s="86">
        <v>1.8621212944838784E-7</v>
      </c>
      <c r="K68" s="86">
        <f>AC54+2*L45</f>
        <v>202.33333333333331</v>
      </c>
      <c r="L68" s="86">
        <f>J68*1.5*((K68-F54)*500/2+(K68-G68)*500)</f>
        <v>1.6875474231260144E-2</v>
      </c>
      <c r="M68" s="62" t="s">
        <v>59</v>
      </c>
      <c r="N68" s="86">
        <v>1.4092054556113492E-9</v>
      </c>
      <c r="O68" s="86">
        <f>AC55+3*L45</f>
        <v>299.33333333333331</v>
      </c>
      <c r="P68" s="86">
        <f>N68*1.5*((O68-K68)*500/2)</f>
        <v>5.1259848447862828E-5</v>
      </c>
    </row>
    <row r="69" spans="1:22" x14ac:dyDescent="0.25">
      <c r="A69" s="86"/>
      <c r="B69" s="86"/>
      <c r="C69" s="89" t="s">
        <v>89</v>
      </c>
      <c r="D69" s="89">
        <f>SUM(D67:D68)</f>
        <v>0</v>
      </c>
      <c r="E69" s="62" t="s">
        <v>52</v>
      </c>
      <c r="F69" s="86">
        <v>0.99988661269469703</v>
      </c>
      <c r="G69" s="86">
        <f>AC53+0*L45</f>
        <v>100.66666666666666</v>
      </c>
      <c r="H69" s="86">
        <f>F69*1.5*((G69-F55)*500)</f>
        <v>18497.902334851889</v>
      </c>
      <c r="I69" s="62" t="s">
        <v>56</v>
      </c>
      <c r="J69" s="86">
        <v>5.7552875783510615E-7</v>
      </c>
      <c r="K69" s="86">
        <f>AC54+1*L45</f>
        <v>190.33333333333331</v>
      </c>
      <c r="L69" s="86">
        <f>J69*1.5*((K69-F54)*500/2+(K69-G69)*500)</f>
        <v>4.9567414268548507E-2</v>
      </c>
      <c r="M69" s="62" t="s">
        <v>60</v>
      </c>
      <c r="N69" s="86">
        <v>1.3513801356759503E-5</v>
      </c>
      <c r="O69" s="86">
        <f>AC55+2*L45</f>
        <v>287.33333333333331</v>
      </c>
      <c r="P69" s="86">
        <f>N69*1.5*((O69-K69)*500/2)</f>
        <v>0.49156452435212694</v>
      </c>
    </row>
    <row r="70" spans="1:22" x14ac:dyDescent="0.25">
      <c r="A70" s="86"/>
      <c r="B70" s="86"/>
      <c r="C70" s="86"/>
      <c r="D70" s="86"/>
      <c r="E70" s="86"/>
      <c r="F70" s="86"/>
      <c r="G70" s="89" t="s">
        <v>79</v>
      </c>
      <c r="H70" s="89">
        <f>SUM(H67:H69)</f>
        <v>18501.303954607454</v>
      </c>
      <c r="I70" s="62" t="s">
        <v>52</v>
      </c>
      <c r="J70" s="86">
        <v>0.99824492113366259</v>
      </c>
      <c r="K70" s="86">
        <f>AC54+0*L45</f>
        <v>178.33333333333331</v>
      </c>
      <c r="L70" s="86">
        <f>J70*1.5*((K70-F54)*500/2+(K70-G69)*500)</f>
        <v>72497.537397332242</v>
      </c>
      <c r="M70" s="62" t="s">
        <v>56</v>
      </c>
      <c r="N70" s="86">
        <v>9.3235716369878263E-3</v>
      </c>
      <c r="O70" s="86">
        <f>AC55+1*L45</f>
        <v>275.33333333333331</v>
      </c>
      <c r="P70" s="86">
        <f>N70*1.5*((O70-K70)*500/2)</f>
        <v>339.14491829543221</v>
      </c>
    </row>
    <row r="71" spans="1:22" x14ac:dyDescent="0.25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9" t="s">
        <v>79</v>
      </c>
      <c r="L71" s="89">
        <f>SUM(L67:L70)</f>
        <v>72497.603840227646</v>
      </c>
      <c r="M71" s="62" t="s">
        <v>52</v>
      </c>
      <c r="N71" s="86">
        <v>0.99066291314723887</v>
      </c>
      <c r="O71" s="86">
        <f>AC55+0*L45</f>
        <v>263.33333333333331</v>
      </c>
      <c r="P71" s="86">
        <f>N71*1.5*((O71-K70)*500/2)</f>
        <v>31577.380356568236</v>
      </c>
      <c r="Q71" s="179" t="s">
        <v>80</v>
      </c>
      <c r="R71" s="179"/>
      <c r="S71" s="180">
        <f>D69+H70+L71+P72</f>
        <v>122915.92468548298</v>
      </c>
      <c r="T71" s="180"/>
    </row>
    <row r="72" spans="1:22" x14ac:dyDescent="0.25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9" t="s">
        <v>79</v>
      </c>
      <c r="P72" s="89">
        <f>SUM(P67:P71)</f>
        <v>31917.016890647887</v>
      </c>
      <c r="Q72" s="179"/>
      <c r="R72" s="179"/>
      <c r="S72" s="180"/>
      <c r="T72" s="180"/>
    </row>
    <row r="73" spans="1:22" x14ac:dyDescent="0.25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</row>
    <row r="74" spans="1:22" x14ac:dyDescent="0.25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</row>
    <row r="75" spans="1:22" x14ac:dyDescent="0.25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</row>
    <row r="76" spans="1:22" ht="24.75" thickBot="1" x14ac:dyDescent="0.3">
      <c r="O76" s="131" t="s">
        <v>81</v>
      </c>
      <c r="P76" s="131"/>
      <c r="Q76" s="131">
        <f>(R62+P62+M63+S71)/AC55</f>
        <v>842.16999488362342</v>
      </c>
      <c r="R76" s="131"/>
    </row>
    <row r="77" spans="1:22" x14ac:dyDescent="0.25">
      <c r="A77" s="181" t="s">
        <v>91</v>
      </c>
      <c r="B77" s="182"/>
    </row>
    <row r="78" spans="1:22" ht="15.75" thickBot="1" x14ac:dyDescent="0.3">
      <c r="A78" s="183"/>
      <c r="B78" s="184"/>
    </row>
    <row r="79" spans="1:22" ht="21" x14ac:dyDescent="0.35">
      <c r="A79" s="185" t="s">
        <v>14</v>
      </c>
      <c r="B79" s="18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O79" s="166" t="s">
        <v>72</v>
      </c>
      <c r="P79" s="166"/>
      <c r="Q79" s="166"/>
      <c r="R79" s="166"/>
      <c r="S79" s="166"/>
      <c r="T79" s="166"/>
      <c r="U79" s="166"/>
      <c r="V79" s="166"/>
    </row>
    <row r="80" spans="1:22" ht="36" x14ac:dyDescent="0.25">
      <c r="A80" s="4" t="s">
        <v>15</v>
      </c>
      <c r="B80" s="4" t="s">
        <v>16</v>
      </c>
      <c r="C80" s="4" t="s">
        <v>31</v>
      </c>
      <c r="D80" s="6" t="s">
        <v>17</v>
      </c>
      <c r="E80" s="6" t="s">
        <v>18</v>
      </c>
      <c r="F80" s="6" t="s">
        <v>19</v>
      </c>
      <c r="G80" s="6" t="s">
        <v>20</v>
      </c>
      <c r="H80" s="6" t="s">
        <v>21</v>
      </c>
      <c r="I80" s="6" t="s">
        <v>22</v>
      </c>
      <c r="J80" s="6" t="s">
        <v>23</v>
      </c>
      <c r="K80" s="6" t="s">
        <v>24</v>
      </c>
      <c r="L80" s="6" t="s">
        <v>25</v>
      </c>
      <c r="M80" s="6" t="s">
        <v>26</v>
      </c>
      <c r="N80" s="8"/>
      <c r="O80" s="167" t="s">
        <v>32</v>
      </c>
      <c r="P80" s="167" t="s">
        <v>35</v>
      </c>
      <c r="Q80" s="167" t="s">
        <v>66</v>
      </c>
      <c r="R80" s="99" t="s">
        <v>67</v>
      </c>
      <c r="S80" s="99" t="s">
        <v>68</v>
      </c>
      <c r="T80" s="167" t="s">
        <v>69</v>
      </c>
      <c r="U80" s="71" t="s">
        <v>33</v>
      </c>
      <c r="V80" s="99" t="s">
        <v>70</v>
      </c>
    </row>
    <row r="81" spans="1:34" x14ac:dyDescent="0.25">
      <c r="A81" s="3" t="s">
        <v>27</v>
      </c>
      <c r="B81" s="3">
        <v>0</v>
      </c>
      <c r="C81" s="3">
        <v>0.3</v>
      </c>
      <c r="D81" s="3">
        <v>243</v>
      </c>
      <c r="E81" s="3">
        <v>1.73</v>
      </c>
      <c r="F81" s="3">
        <v>5</v>
      </c>
      <c r="G81" s="169">
        <v>12</v>
      </c>
      <c r="H81" s="3">
        <v>1820</v>
      </c>
      <c r="I81" s="169">
        <v>19645</v>
      </c>
      <c r="J81" s="3">
        <v>20</v>
      </c>
      <c r="K81" s="3">
        <v>40</v>
      </c>
      <c r="L81" s="3">
        <v>500</v>
      </c>
      <c r="M81" s="3">
        <v>1000</v>
      </c>
      <c r="O81" s="168"/>
      <c r="P81" s="168"/>
      <c r="Q81" s="168"/>
      <c r="R81" s="72" t="s">
        <v>71</v>
      </c>
      <c r="S81" s="72" t="s">
        <v>71</v>
      </c>
      <c r="T81" s="168"/>
      <c r="U81" s="73">
        <v>500</v>
      </c>
      <c r="V81" s="3">
        <v>1.5</v>
      </c>
    </row>
    <row r="82" spans="1:34" x14ac:dyDescent="0.25">
      <c r="A82" s="3" t="s">
        <v>28</v>
      </c>
      <c r="B82" s="3">
        <v>0</v>
      </c>
      <c r="C82" s="3">
        <v>0.3</v>
      </c>
      <c r="D82" s="3">
        <v>254</v>
      </c>
      <c r="E82" s="3">
        <v>1.88</v>
      </c>
      <c r="F82" s="3">
        <v>3</v>
      </c>
      <c r="G82" s="170"/>
      <c r="H82" s="3">
        <v>2720</v>
      </c>
      <c r="I82" s="170"/>
      <c r="J82" s="5"/>
      <c r="K82" s="5"/>
      <c r="L82" s="5"/>
      <c r="M82" s="5"/>
      <c r="O82" s="74">
        <v>1</v>
      </c>
      <c r="P82" s="74">
        <v>106</v>
      </c>
      <c r="Q82" s="74">
        <v>110</v>
      </c>
      <c r="R82" s="74">
        <v>6</v>
      </c>
      <c r="S82" s="74">
        <v>5</v>
      </c>
      <c r="T82" s="74">
        <f>R82*$U$5/60+S82</f>
        <v>55</v>
      </c>
      <c r="U82" s="75"/>
    </row>
    <row r="83" spans="1:34" x14ac:dyDescent="0.25">
      <c r="A83" s="3" t="s">
        <v>29</v>
      </c>
      <c r="B83" s="3">
        <v>0</v>
      </c>
      <c r="C83" s="3">
        <v>0.3</v>
      </c>
      <c r="D83" s="3">
        <v>143</v>
      </c>
      <c r="E83" s="3">
        <v>2.4300000000000002</v>
      </c>
      <c r="F83" s="3">
        <v>8</v>
      </c>
      <c r="G83" s="170"/>
      <c r="H83" s="3">
        <v>3700</v>
      </c>
      <c r="I83" s="170"/>
      <c r="J83" s="5"/>
      <c r="K83" s="140" t="s">
        <v>73</v>
      </c>
      <c r="L83" s="141">
        <v>12</v>
      </c>
      <c r="M83" s="140" t="s">
        <v>74</v>
      </c>
      <c r="N83" s="141">
        <v>19645</v>
      </c>
      <c r="O83" s="74">
        <v>2</v>
      </c>
      <c r="P83" s="74">
        <v>76</v>
      </c>
      <c r="Q83" s="74">
        <v>40</v>
      </c>
      <c r="R83" s="74">
        <v>9</v>
      </c>
      <c r="S83" s="74">
        <v>2</v>
      </c>
      <c r="T83" s="74">
        <f t="shared" ref="T83:T85" si="8">R83*$U$5/60+S83</f>
        <v>77</v>
      </c>
      <c r="U83" s="75"/>
    </row>
    <row r="84" spans="1:34" x14ac:dyDescent="0.25">
      <c r="A84" s="3" t="s">
        <v>30</v>
      </c>
      <c r="B84" s="3">
        <v>0</v>
      </c>
      <c r="C84" s="3">
        <v>0.3</v>
      </c>
      <c r="D84" s="3">
        <v>449</v>
      </c>
      <c r="E84" s="3">
        <v>2.5299999999999998</v>
      </c>
      <c r="F84" s="3">
        <v>4</v>
      </c>
      <c r="G84" s="171"/>
      <c r="H84" s="3">
        <v>4320</v>
      </c>
      <c r="I84" s="171"/>
      <c r="J84" s="5"/>
      <c r="K84" s="140"/>
      <c r="L84" s="141"/>
      <c r="M84" s="140"/>
      <c r="N84" s="141"/>
      <c r="O84" s="74">
        <v>3</v>
      </c>
      <c r="P84" s="74">
        <v>95</v>
      </c>
      <c r="Q84" s="74">
        <v>67</v>
      </c>
      <c r="R84" s="74">
        <v>5</v>
      </c>
      <c r="S84" s="74">
        <v>4</v>
      </c>
      <c r="T84" s="74">
        <f t="shared" si="8"/>
        <v>45.666666666666664</v>
      </c>
      <c r="U84" s="75"/>
    </row>
    <row r="85" spans="1:34" ht="15.75" thickBo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O85" s="74">
        <v>4</v>
      </c>
      <c r="P85" s="74">
        <v>140</v>
      </c>
      <c r="Q85" s="94">
        <v>85</v>
      </c>
      <c r="R85" s="94">
        <v>8</v>
      </c>
      <c r="S85" s="94">
        <v>3</v>
      </c>
      <c r="T85" s="74">
        <f t="shared" si="8"/>
        <v>69.666666666666671</v>
      </c>
    </row>
    <row r="86" spans="1:34" ht="15" customHeight="1" x14ac:dyDescent="0.25">
      <c r="A86" s="172" t="s">
        <v>104</v>
      </c>
      <c r="B86" s="144" t="s">
        <v>105</v>
      </c>
      <c r="C86" s="144"/>
      <c r="D86" s="144"/>
      <c r="E86" s="144"/>
      <c r="F86" s="20" t="s">
        <v>27</v>
      </c>
      <c r="G86" s="20" t="s">
        <v>28</v>
      </c>
      <c r="H86" s="20" t="s">
        <v>29</v>
      </c>
      <c r="I86" s="20" t="s">
        <v>30</v>
      </c>
    </row>
    <row r="87" spans="1:34" ht="15.75" customHeight="1" thickBot="1" x14ac:dyDescent="0.3">
      <c r="A87" s="173"/>
      <c r="B87" s="145"/>
      <c r="C87" s="145"/>
      <c r="D87" s="145"/>
      <c r="E87" s="145"/>
      <c r="F87" s="20">
        <v>84</v>
      </c>
      <c r="G87" s="26">
        <v>84</v>
      </c>
      <c r="H87" s="26">
        <v>84</v>
      </c>
      <c r="I87" s="26">
        <v>252</v>
      </c>
    </row>
    <row r="88" spans="1:34" ht="15.75" customHeight="1" thickBot="1" x14ac:dyDescent="0.3">
      <c r="A88" s="173"/>
      <c r="B88" s="145"/>
      <c r="C88" s="145"/>
      <c r="D88" s="145"/>
      <c r="E88" s="145"/>
      <c r="F88" s="7"/>
      <c r="G88" s="146" t="s">
        <v>27</v>
      </c>
      <c r="H88" s="147"/>
      <c r="I88" s="147"/>
      <c r="J88" s="147"/>
      <c r="K88" s="148"/>
      <c r="L88" s="149" t="s">
        <v>28</v>
      </c>
      <c r="M88" s="150"/>
      <c r="N88" s="150"/>
      <c r="O88" s="150"/>
      <c r="P88" s="151"/>
      <c r="Q88" s="152" t="s">
        <v>29</v>
      </c>
      <c r="R88" s="153"/>
      <c r="S88" s="153"/>
      <c r="T88" s="153"/>
      <c r="U88" s="154"/>
      <c r="V88" s="155" t="s">
        <v>30</v>
      </c>
      <c r="W88" s="156"/>
      <c r="X88" s="156"/>
      <c r="Y88" s="156"/>
      <c r="Z88" s="157"/>
      <c r="AA88" s="158" t="s">
        <v>42</v>
      </c>
      <c r="AB88" s="159"/>
      <c r="AC88" s="160" t="s">
        <v>44</v>
      </c>
      <c r="AD88" s="162" t="s">
        <v>47</v>
      </c>
      <c r="AE88" s="163"/>
      <c r="AF88" s="163"/>
      <c r="AG88" s="164"/>
      <c r="AH88" s="138" t="s">
        <v>62</v>
      </c>
    </row>
    <row r="89" spans="1:34" ht="36.75" x14ac:dyDescent="0.25">
      <c r="A89" s="21" t="s">
        <v>32</v>
      </c>
      <c r="B89" s="22" t="s">
        <v>37</v>
      </c>
      <c r="C89" s="23" t="s">
        <v>33</v>
      </c>
      <c r="D89" s="22" t="s">
        <v>38</v>
      </c>
      <c r="E89" s="22" t="s">
        <v>34</v>
      </c>
      <c r="F89" s="25" t="s">
        <v>35</v>
      </c>
      <c r="G89" s="27" t="s">
        <v>39</v>
      </c>
      <c r="H89" s="10" t="s">
        <v>40</v>
      </c>
      <c r="I89" s="10" t="s">
        <v>45</v>
      </c>
      <c r="J89" s="10" t="s">
        <v>46</v>
      </c>
      <c r="K89" s="28" t="s">
        <v>41</v>
      </c>
      <c r="L89" s="30" t="s">
        <v>39</v>
      </c>
      <c r="M89" s="13" t="s">
        <v>40</v>
      </c>
      <c r="N89" s="13" t="s">
        <v>45</v>
      </c>
      <c r="O89" s="13" t="s">
        <v>46</v>
      </c>
      <c r="P89" s="31" t="s">
        <v>41</v>
      </c>
      <c r="Q89" s="33" t="s">
        <v>39</v>
      </c>
      <c r="R89" s="12" t="s">
        <v>40</v>
      </c>
      <c r="S89" s="12" t="s">
        <v>45</v>
      </c>
      <c r="T89" s="12" t="s">
        <v>46</v>
      </c>
      <c r="U89" s="34" t="s">
        <v>41</v>
      </c>
      <c r="V89" s="36" t="s">
        <v>39</v>
      </c>
      <c r="W89" s="11" t="s">
        <v>40</v>
      </c>
      <c r="X89" s="11" t="s">
        <v>45</v>
      </c>
      <c r="Y89" s="11" t="s">
        <v>46</v>
      </c>
      <c r="Z89" s="37" t="s">
        <v>41</v>
      </c>
      <c r="AA89" s="39" t="s">
        <v>41</v>
      </c>
      <c r="AB89" s="40" t="s">
        <v>43</v>
      </c>
      <c r="AC89" s="161"/>
      <c r="AD89" s="43" t="s">
        <v>27</v>
      </c>
      <c r="AE89" s="1" t="s">
        <v>28</v>
      </c>
      <c r="AF89" s="1" t="s">
        <v>29</v>
      </c>
      <c r="AG89" s="1" t="s">
        <v>30</v>
      </c>
      <c r="AH89" s="139"/>
    </row>
    <row r="90" spans="1:34" x14ac:dyDescent="0.25">
      <c r="A90" s="24">
        <v>3</v>
      </c>
      <c r="B90" s="9">
        <v>5</v>
      </c>
      <c r="C90" s="9">
        <v>500</v>
      </c>
      <c r="D90" s="9">
        <v>4</v>
      </c>
      <c r="E90" s="48">
        <f>B90*C90/60+D90</f>
        <v>45.666666666666664</v>
      </c>
      <c r="F90" s="14">
        <v>95</v>
      </c>
      <c r="G90" s="49">
        <f>B$5*(1-AD90*C$5)</f>
        <v>0</v>
      </c>
      <c r="H90" s="50">
        <f>G90+E90</f>
        <v>45.666666666666664</v>
      </c>
      <c r="I90" s="15">
        <f>(H90/D$5)^E$5</f>
        <v>5.5463587496332782E-2</v>
      </c>
      <c r="J90" s="15">
        <f>(G90/D$5)^E$5</f>
        <v>0</v>
      </c>
      <c r="K90" s="29">
        <f>1-EXP(J90-I90)</f>
        <v>5.3953529036131931E-2</v>
      </c>
      <c r="L90" s="51">
        <f>B$6*(1-AE90*C$6)</f>
        <v>0</v>
      </c>
      <c r="M90" s="52">
        <f>L90+E90</f>
        <v>45.666666666666664</v>
      </c>
      <c r="N90" s="17">
        <f>(M90/D$6)^E$6</f>
        <v>3.9715434673642101E-2</v>
      </c>
      <c r="O90" s="17">
        <f>(L90/D$6)^E$6</f>
        <v>0</v>
      </c>
      <c r="P90" s="32">
        <f>1-EXP(O90-N90)</f>
        <v>3.8937114582545562E-2</v>
      </c>
      <c r="Q90" s="53">
        <f>B$7*(1-AF90*C$7)</f>
        <v>0</v>
      </c>
      <c r="R90" s="54">
        <f>Q90+E90</f>
        <v>45.666666666666664</v>
      </c>
      <c r="S90" s="16">
        <f>(R90/D$7)^E$7</f>
        <v>6.2425173515745024E-2</v>
      </c>
      <c r="T90" s="16">
        <f>(Q90/D$7)^E$7</f>
        <v>0</v>
      </c>
      <c r="U90" s="35">
        <f>1-EXP(T90-S90)</f>
        <v>6.0516641579816954E-2</v>
      </c>
      <c r="V90" s="55">
        <f>B$8*(1-AG90*C$8)</f>
        <v>0</v>
      </c>
      <c r="W90" s="56">
        <f>V90+E90</f>
        <v>45.666666666666664</v>
      </c>
      <c r="X90" s="18">
        <f>(W90/D$8)^E$8</f>
        <v>3.0803709406480337E-3</v>
      </c>
      <c r="Y90" s="18">
        <f>(V90/D$8)^E$8</f>
        <v>0</v>
      </c>
      <c r="Z90" s="38">
        <f>1-EXP(Y90-X90)</f>
        <v>3.0756314657778283E-3</v>
      </c>
      <c r="AA90" s="41">
        <f>K90*P90*U90*Z90</f>
        <v>3.9101438569080559E-7</v>
      </c>
      <c r="AB90" s="42">
        <f>1-AA90</f>
        <v>0.99999960898561435</v>
      </c>
      <c r="AC90" s="47">
        <f>(AD90*F$5+AE90*F$6+AF90*F$7+AG90*F$8)+E90</f>
        <v>45.666666666666664</v>
      </c>
      <c r="AD90" s="43">
        <v>0</v>
      </c>
      <c r="AE90" s="1">
        <v>0</v>
      </c>
      <c r="AF90" s="1">
        <v>0</v>
      </c>
      <c r="AG90" s="1">
        <v>0</v>
      </c>
      <c r="AH90" s="44">
        <v>67</v>
      </c>
    </row>
    <row r="91" spans="1:34" x14ac:dyDescent="0.25">
      <c r="A91" s="24">
        <v>2</v>
      </c>
      <c r="B91" s="9">
        <v>9</v>
      </c>
      <c r="C91" s="9">
        <v>500</v>
      </c>
      <c r="D91" s="9">
        <v>2</v>
      </c>
      <c r="E91" s="9">
        <f t="shared" ref="E91:E93" si="9">B91*C91/60+D91</f>
        <v>77</v>
      </c>
      <c r="F91" s="14">
        <v>76</v>
      </c>
      <c r="G91" s="49">
        <f>H90*(1-AD91*C$5)</f>
        <v>45.666666666666664</v>
      </c>
      <c r="H91" s="50">
        <f>G91+E91</f>
        <v>122.66666666666666</v>
      </c>
      <c r="I91" s="15">
        <f>(H91/D$5)^E$5</f>
        <v>0.30647715135734394</v>
      </c>
      <c r="J91" s="15">
        <f>(G91/D$5)^E$5</f>
        <v>5.5463587496332782E-2</v>
      </c>
      <c r="K91" s="29">
        <f>1-EXP(J91-I91)</f>
        <v>0.22198818135678478</v>
      </c>
      <c r="L91" s="51">
        <f>M90*(1-AE91*C$6)</f>
        <v>45.666666666666664</v>
      </c>
      <c r="M91" s="52">
        <f>L91+E91</f>
        <v>122.66666666666666</v>
      </c>
      <c r="N91" s="17">
        <f>(M91/D$6)^E$6</f>
        <v>0.25451802994245737</v>
      </c>
      <c r="O91" s="17">
        <f>(L91/D$6)^E$6</f>
        <v>3.9715434673642101E-2</v>
      </c>
      <c r="P91" s="32">
        <f>1-EXP(O91-N91)</f>
        <v>0.19329932901054481</v>
      </c>
      <c r="Q91" s="53">
        <f>R90*(1-AF91*C$7)</f>
        <v>45.666666666666664</v>
      </c>
      <c r="R91" s="54">
        <f>Q91+E91</f>
        <v>122.66666666666666</v>
      </c>
      <c r="S91" s="16">
        <f>(R91/D$7)^E$7</f>
        <v>0.68887270848465465</v>
      </c>
      <c r="T91" s="16">
        <f>(Q91/D$7)^E$7</f>
        <v>6.2425173515745024E-2</v>
      </c>
      <c r="U91" s="35">
        <f>1-EXP(T91-S91)</f>
        <v>0.46551282060476484</v>
      </c>
      <c r="V91" s="55">
        <f>W90*(1-AG91*C$8)</f>
        <v>45.666666666666664</v>
      </c>
      <c r="W91" s="56">
        <f>V91+E91</f>
        <v>122.66666666666666</v>
      </c>
      <c r="X91" s="18">
        <f>(W91/D$8)^E$8</f>
        <v>3.7522776286050503E-2</v>
      </c>
      <c r="Y91" s="18">
        <f>(V91/D$8)^E$8</f>
        <v>3.0803709406480337E-3</v>
      </c>
      <c r="Z91" s="38">
        <f>1-EXP(Y91-X91)</f>
        <v>3.3856017186915555E-2</v>
      </c>
      <c r="AA91" s="41">
        <f>K91*P91*U91*Z91</f>
        <v>6.7628181964517946E-4</v>
      </c>
      <c r="AB91" s="42">
        <f>1-AA91</f>
        <v>0.99932371818035481</v>
      </c>
      <c r="AC91" s="47">
        <f>AF91*F$7+E91+AC90</f>
        <v>122.66666666666666</v>
      </c>
      <c r="AD91" s="43">
        <v>0</v>
      </c>
      <c r="AE91" s="1">
        <v>0</v>
      </c>
      <c r="AF91" s="1">
        <v>0</v>
      </c>
      <c r="AG91" s="1">
        <v>0</v>
      </c>
      <c r="AH91" s="44">
        <v>40</v>
      </c>
    </row>
    <row r="92" spans="1:34" x14ac:dyDescent="0.25">
      <c r="A92" s="57">
        <v>1</v>
      </c>
      <c r="B92" s="58">
        <v>6</v>
      </c>
      <c r="C92" s="58">
        <v>500</v>
      </c>
      <c r="D92" s="58">
        <v>5</v>
      </c>
      <c r="E92" s="66">
        <f t="shared" si="9"/>
        <v>55</v>
      </c>
      <c r="F92" s="67">
        <v>106</v>
      </c>
      <c r="G92" s="68">
        <f>H91*(1-AD92*C$5)</f>
        <v>85.86666666666666</v>
      </c>
      <c r="H92" s="69">
        <f>G92+E92</f>
        <v>140.86666666666667</v>
      </c>
      <c r="I92" s="70">
        <f>(H92/D$5)^E$5</f>
        <v>0.3893493001630618</v>
      </c>
      <c r="J92" s="70">
        <f>(G92/D$5)^E$5</f>
        <v>0.16535514464725598</v>
      </c>
      <c r="K92" s="29">
        <f>1-EXP(J92-I92)</f>
        <v>0.20068019403231441</v>
      </c>
      <c r="L92" s="51">
        <f>M91*(1-AE92*C$6)</f>
        <v>85.86666666666666</v>
      </c>
      <c r="M92" s="52">
        <f>L92+E92</f>
        <v>140.86666666666667</v>
      </c>
      <c r="N92" s="17">
        <f>(M92/D$6)^E$6</f>
        <v>0.33012020048485397</v>
      </c>
      <c r="O92" s="17">
        <f>(L92/D$6)^E$6</f>
        <v>0.13016759122196553</v>
      </c>
      <c r="P92" s="32">
        <f>1-EXP(O92-N92)</f>
        <v>0.18123044574873304</v>
      </c>
      <c r="Q92" s="53">
        <f>R91*(1-AF92*C$7)</f>
        <v>85.86666666666666</v>
      </c>
      <c r="R92" s="54">
        <f>Q92+E92</f>
        <v>140.86666666666667</v>
      </c>
      <c r="S92" s="16">
        <f>(R92/D$7)^E$7</f>
        <v>0.9641341084452858</v>
      </c>
      <c r="T92" s="16">
        <f>(Q92/D$7)^E$7</f>
        <v>0.28955243173642403</v>
      </c>
      <c r="U92" s="35">
        <f>1-EXP(T92-S92)</f>
        <v>0.49063054284691032</v>
      </c>
      <c r="V92" s="55">
        <f>W91*(1-AG92*C$8)</f>
        <v>122.66666666666666</v>
      </c>
      <c r="W92" s="56">
        <f>V92+E92</f>
        <v>177.66666666666666</v>
      </c>
      <c r="X92" s="18">
        <f>(W92/D$8)^E$8</f>
        <v>9.5789922449281015E-2</v>
      </c>
      <c r="Y92" s="18">
        <f>(V92/D$8)^E$8</f>
        <v>3.7522776286050503E-2</v>
      </c>
      <c r="Z92" s="38">
        <f>1-EXP(Y92-X92)</f>
        <v>5.6602111356323093E-2</v>
      </c>
      <c r="AA92" s="41">
        <f>K92*P92*U92*Z92</f>
        <v>1.0100035094577026E-3</v>
      </c>
      <c r="AB92" s="42">
        <f>1-AA92</f>
        <v>0.99898999649054232</v>
      </c>
      <c r="AC92" s="47">
        <f>(AF92*F$7)+E92+AC91</f>
        <v>185.66666666666666</v>
      </c>
      <c r="AD92" s="77">
        <v>1</v>
      </c>
      <c r="AE92" s="78">
        <v>1</v>
      </c>
      <c r="AF92" s="78">
        <v>1</v>
      </c>
      <c r="AG92" s="78">
        <v>0</v>
      </c>
      <c r="AH92" s="79">
        <v>110</v>
      </c>
    </row>
    <row r="93" spans="1:34" ht="15.75" thickBot="1" x14ac:dyDescent="0.3">
      <c r="A93" s="76">
        <v>4</v>
      </c>
      <c r="B93" s="58">
        <v>8</v>
      </c>
      <c r="C93" s="58">
        <v>500</v>
      </c>
      <c r="D93" s="58">
        <v>3</v>
      </c>
      <c r="E93" s="66">
        <f t="shared" si="9"/>
        <v>69.666666666666671</v>
      </c>
      <c r="F93" s="67">
        <v>140</v>
      </c>
      <c r="G93" s="68">
        <f>H92*(1-AD93*C$5)</f>
        <v>98.606666666666669</v>
      </c>
      <c r="H93" s="69">
        <f>G93+E93</f>
        <v>168.27333333333334</v>
      </c>
      <c r="I93" s="70">
        <f>(H93/D$5)^E$5</f>
        <v>0.52955077969900988</v>
      </c>
      <c r="J93" s="70">
        <f>(G93/D$5)^E$5</f>
        <v>0.21006756804426371</v>
      </c>
      <c r="K93" s="29">
        <f>1-EXP(J93-I93)</f>
        <v>0.27347560058394416</v>
      </c>
      <c r="L93" s="51">
        <f>M92*(1-AE93*C$6)</f>
        <v>98.606666666666669</v>
      </c>
      <c r="M93" s="52">
        <f>L93+E93</f>
        <v>168.27333333333334</v>
      </c>
      <c r="N93" s="17">
        <f>(M93/D$6)^E$6</f>
        <v>0.46112787141135408</v>
      </c>
      <c r="O93" s="17">
        <f>(L93/D$6)^E$6</f>
        <v>0.16883264152461361</v>
      </c>
      <c r="P93" s="32">
        <f>1-EXP(O93-N93)</f>
        <v>0.25345189987571315</v>
      </c>
      <c r="Q93" s="53">
        <f>R92*(1-AF93*C$7)</f>
        <v>98.606666666666669</v>
      </c>
      <c r="R93" s="54">
        <f>Q93+E93</f>
        <v>168.27333333333334</v>
      </c>
      <c r="S93" s="16">
        <f>(R93/D$7)^E$7</f>
        <v>1.4850825755388559</v>
      </c>
      <c r="T93" s="16">
        <f>(Q93/D$7)^E$7</f>
        <v>0.4052524830522885</v>
      </c>
      <c r="U93" s="35">
        <f>1-EXP(T93-S93)</f>
        <v>0.66034676962163052</v>
      </c>
      <c r="V93" s="55">
        <f>W92*(1-AG93*C$8)</f>
        <v>177.66666666666666</v>
      </c>
      <c r="W93" s="56">
        <f>V93+E93</f>
        <v>247.33333333333331</v>
      </c>
      <c r="X93" s="18">
        <f>(W93/D$8)^E$8</f>
        <v>0.221218713919872</v>
      </c>
      <c r="Y93" s="18">
        <f>(V93/D$8)^E$8</f>
        <v>9.5789922449281015E-2</v>
      </c>
      <c r="Z93" s="38">
        <f>1-EXP(Y93-X93)</f>
        <v>0.11788142344277242</v>
      </c>
      <c r="AA93" s="41">
        <f>K93*P93*U93*Z93</f>
        <v>5.395498359840132E-3</v>
      </c>
      <c r="AB93" s="42">
        <f>1-AA93</f>
        <v>0.9946045016401599</v>
      </c>
      <c r="AC93" s="47">
        <f>(AF93*F$7)+E93+AC92</f>
        <v>263.33333333333331</v>
      </c>
      <c r="AD93" s="80">
        <v>1</v>
      </c>
      <c r="AE93" s="45">
        <v>1</v>
      </c>
      <c r="AF93" s="81">
        <v>1</v>
      </c>
      <c r="AG93" s="45">
        <v>0</v>
      </c>
      <c r="AH93" s="82">
        <v>85</v>
      </c>
    </row>
    <row r="94" spans="1:34" ht="18.75" x14ac:dyDescent="0.3">
      <c r="A94" s="132" t="s">
        <v>53</v>
      </c>
      <c r="B94" s="132"/>
      <c r="C94" s="132"/>
      <c r="D94" s="132"/>
      <c r="E94" s="132"/>
      <c r="F94" s="132"/>
      <c r="G94" s="132"/>
      <c r="H94" s="132"/>
      <c r="I94" s="132"/>
      <c r="J94" s="132"/>
      <c r="AG94" s="46"/>
    </row>
    <row r="95" spans="1:34" ht="15.75" x14ac:dyDescent="0.25">
      <c r="A95" s="19" t="s">
        <v>54</v>
      </c>
      <c r="B95" s="60" t="s">
        <v>49</v>
      </c>
      <c r="C95" s="61" t="s">
        <v>50</v>
      </c>
      <c r="D95" s="19" t="s">
        <v>48</v>
      </c>
      <c r="E95" s="60" t="s">
        <v>57</v>
      </c>
      <c r="F95" s="61" t="s">
        <v>50</v>
      </c>
      <c r="G95" s="19" t="s">
        <v>58</v>
      </c>
      <c r="H95" s="60" t="s">
        <v>61</v>
      </c>
      <c r="I95" s="61" t="s">
        <v>50</v>
      </c>
      <c r="J95" s="19" t="s">
        <v>82</v>
      </c>
      <c r="K95" s="83" t="s">
        <v>84</v>
      </c>
      <c r="L95" s="61" t="s">
        <v>50</v>
      </c>
      <c r="M95" s="61" t="s">
        <v>85</v>
      </c>
      <c r="O95" s="174" t="s">
        <v>64</v>
      </c>
      <c r="P95" s="174"/>
      <c r="Q95" s="175" t="s">
        <v>109</v>
      </c>
      <c r="R95" s="175"/>
    </row>
    <row r="96" spans="1:34" ht="24.75" x14ac:dyDescent="0.25">
      <c r="A96" s="61" t="s">
        <v>51</v>
      </c>
      <c r="B96" s="1">
        <f>AA90</f>
        <v>3.9101438569080559E-7</v>
      </c>
      <c r="C96" s="59">
        <f>MAX(AC90+1*L83-F90,0)</f>
        <v>0</v>
      </c>
      <c r="D96" s="62" t="s">
        <v>55</v>
      </c>
      <c r="E96" s="1">
        <f>AA90*AA91</f>
        <v>2.6443592026242004E-10</v>
      </c>
      <c r="F96" s="1">
        <f>MAX(AC91+2*L83-F91,0)</f>
        <v>70.666666666666657</v>
      </c>
      <c r="G96" s="62" t="s">
        <v>59</v>
      </c>
      <c r="H96" s="1">
        <f>AA90*AA91*AA92</f>
        <v>2.6708120749172144E-13</v>
      </c>
      <c r="I96" s="1">
        <f>AC92+3*L83-F92</f>
        <v>115.66666666666666</v>
      </c>
      <c r="J96" s="62" t="s">
        <v>83</v>
      </c>
      <c r="K96" s="1">
        <f>AA90*AA91*AA92*AA93</f>
        <v>1.441036216965705E-15</v>
      </c>
      <c r="L96" s="1">
        <f>AC93+4*L83-F93</f>
        <v>171.33333333333331</v>
      </c>
      <c r="M96" s="1">
        <f>B96*C96*AH90+E96*F96*AH91+H96*I96*AH92+K96*L96*AH93</f>
        <v>7.5089135079586659E-7</v>
      </c>
      <c r="O96" s="1" t="s">
        <v>27</v>
      </c>
      <c r="P96" s="1">
        <f>2*H81</f>
        <v>3640</v>
      </c>
      <c r="Q96" s="1">
        <f>(K90*(1-P90)*(1-U90)*(1-Z90))+(P90*(1-K90)*(1-U90)*(1-Z90))+(U90*(1-K90)*(1-P90)*(1-Z90))+(Z90*(1-K90)*(1-P90)*(1-U90))</f>
        <v>0.1405459062810282</v>
      </c>
      <c r="R96" s="1">
        <f>Q96*(L$7*(J$5*K$5+L$5)+I$5)</f>
        <v>4953.5404668748388</v>
      </c>
    </row>
    <row r="97" spans="1:20" ht="24.75" x14ac:dyDescent="0.25">
      <c r="A97" s="62" t="s">
        <v>52</v>
      </c>
      <c r="B97" s="1">
        <f>AB90</f>
        <v>0.99999960898561435</v>
      </c>
      <c r="C97" s="59">
        <f>MAX(AC90-F90,0)</f>
        <v>0</v>
      </c>
      <c r="D97" s="62" t="s">
        <v>56</v>
      </c>
      <c r="E97" s="1">
        <f>AA90*AB91+AA91*AB90</f>
        <v>6.7667230515902979E-4</v>
      </c>
      <c r="F97" s="1">
        <f>MAX(AC91+1*L83-F91,0)</f>
        <v>58.666666666666657</v>
      </c>
      <c r="G97" s="62" t="s">
        <v>60</v>
      </c>
      <c r="H97" s="1">
        <f>AA90*AA91*AB92+AA91*AA92*AB90+AA90*AA92*AB91</f>
        <v>6.8370557180250845E-7</v>
      </c>
      <c r="I97" s="1">
        <f>AC92+2*L83-F92</f>
        <v>103.66666666666666</v>
      </c>
      <c r="J97" s="62" t="s">
        <v>59</v>
      </c>
      <c r="K97">
        <f>AB90*AA91*AA92*AA93+AB91*AA90*AA92*AA93*+AB92*AA90*AA91*AA93+AB93*AA90*AA91*AA92</f>
        <v>3.6856432278882478E-9</v>
      </c>
      <c r="L97" s="1">
        <f>AC93+3*L83-F93</f>
        <v>159.33333333333331</v>
      </c>
      <c r="M97" s="1">
        <f>B97*C97*AH90+E97*F97*AH91+H97*I97*AH92+K97*L97*AH93</f>
        <v>1.5957707812050939</v>
      </c>
      <c r="O97" s="1" t="s">
        <v>28</v>
      </c>
      <c r="P97" s="1">
        <f>2*H82</f>
        <v>5440</v>
      </c>
      <c r="Q97" s="1">
        <f t="shared" ref="Q97:Q99" si="10">(K91*(1-P91)*(1-U91)*(1-Z91))+(P91*(1-K91)*(1-U91)*(1-Z91))+(U91*(1-K91)*(1-P91)*(1-Z91))+(Z91*(1-K91)*(1-P91)*(1-U91))</f>
        <v>0.4637660892509754</v>
      </c>
      <c r="R97" s="1">
        <f t="shared" ref="R97:R99" si="11">Q97*(L$7*(J$5*K$5+L$5)+I$5)</f>
        <v>16345.435815650628</v>
      </c>
    </row>
    <row r="98" spans="1:20" ht="24.75" x14ac:dyDescent="0.25">
      <c r="A98" s="1"/>
      <c r="B98" s="1"/>
      <c r="C98" s="1"/>
      <c r="D98" s="62" t="s">
        <v>52</v>
      </c>
      <c r="E98" s="1">
        <f>AB90*AB91</f>
        <v>0.99932332743040508</v>
      </c>
      <c r="F98" s="59">
        <f>MAX(AC91-F91,0)</f>
        <v>46.666666666666657</v>
      </c>
      <c r="G98" s="62" t="s">
        <v>56</v>
      </c>
      <c r="H98" s="1">
        <f>AA90*AB91*AB92+AA91*AB90*AB92*+AA92*AB90*AB91</f>
        <v>1.0722504233112064E-6</v>
      </c>
      <c r="I98" s="1">
        <f>AC92+1*L83-F92</f>
        <v>91.666666666666657</v>
      </c>
      <c r="J98" s="62" t="s">
        <v>60</v>
      </c>
      <c r="K98" s="1">
        <f>AA90*AA91*AB92*AB93 + AA90*AA92*AB91*AB93 + AA90*AA93*AB91*AB92 + AA91*AA92*AB90*AB93 + AA91*AA93*AB90*AB92 + AA92*AA93*AB90*AB91</f>
        <v>9.7730982154793246E-6</v>
      </c>
      <c r="L98" s="1">
        <f>AC93+2*L83-F93</f>
        <v>147.33333333333331</v>
      </c>
      <c r="M98" s="1">
        <f>B98*C98*AH90+E98*F98*AH91+H98*I98*AH92+K98*L98*AH93</f>
        <v>1865.5367481618428</v>
      </c>
      <c r="O98" s="1" t="s">
        <v>29</v>
      </c>
      <c r="P98" s="1">
        <f>2*(F83*(J81*K81+L81)+H83)</f>
        <v>28200</v>
      </c>
      <c r="Q98" s="1">
        <f t="shared" si="10"/>
        <v>0.47036047402318948</v>
      </c>
      <c r="R98" s="1">
        <f t="shared" si="11"/>
        <v>16577.854906947312</v>
      </c>
    </row>
    <row r="99" spans="1:20" ht="24.75" x14ac:dyDescent="0.25">
      <c r="A99" s="1"/>
      <c r="B99" s="1"/>
      <c r="C99" s="1"/>
      <c r="D99" s="1"/>
      <c r="E99" s="1"/>
      <c r="F99" s="1"/>
      <c r="G99" s="62" t="s">
        <v>52</v>
      </c>
      <c r="H99" s="1">
        <f>AB90*AB91*AB92</f>
        <v>0.99831400736261744</v>
      </c>
      <c r="I99" s="63">
        <f>AC92-F92</f>
        <v>79.666666666666657</v>
      </c>
      <c r="J99" s="62" t="s">
        <v>56</v>
      </c>
      <c r="K99" s="1">
        <f>AA90*AB91*AB92*AB93+AA91*AB90*AB92*AB93+AA92*AB90*AB91*AB93+AA93*AB90*AB91*AB92</f>
        <v>7.0626174392981883E-3</v>
      </c>
      <c r="L99" s="1">
        <f>AC93+1*L83-F93</f>
        <v>135.33333333333331</v>
      </c>
      <c r="M99" s="1">
        <f>B99*C99*AH90+E99*F99*AH91+H99*I99*AH92+K99*L99*AH93</f>
        <v>8829.8020604644626</v>
      </c>
      <c r="O99" s="1" t="s">
        <v>30</v>
      </c>
      <c r="P99" s="1">
        <v>0</v>
      </c>
      <c r="Q99" s="1">
        <f t="shared" si="10"/>
        <v>0.45399900200769444</v>
      </c>
      <c r="R99" s="1">
        <f t="shared" si="11"/>
        <v>16001.194825761191</v>
      </c>
    </row>
    <row r="100" spans="1:20" ht="30" x14ac:dyDescent="0.25">
      <c r="I100" s="84"/>
      <c r="J100" s="62" t="s">
        <v>52</v>
      </c>
      <c r="K100" s="85">
        <f>AB90*AB91*AB92*AB93</f>
        <v>0.99292760577328709</v>
      </c>
      <c r="L100" s="1">
        <f>AC93+0*L83-F93</f>
        <v>123.33333333333331</v>
      </c>
      <c r="M100" s="1">
        <f>B100*C100*AH90+E100*F100*AH91+H100*I100*AH92+K100*L100*AH93</f>
        <v>10409.191067189957</v>
      </c>
      <c r="O100" s="64" t="s">
        <v>65</v>
      </c>
      <c r="P100" s="65">
        <f>SUM(P96:P99)</f>
        <v>37280</v>
      </c>
      <c r="Q100" s="96" t="s">
        <v>108</v>
      </c>
      <c r="R100" s="97">
        <f>SUM(R96:R99)</f>
        <v>53878.026015233976</v>
      </c>
    </row>
    <row r="101" spans="1:20" x14ac:dyDescent="0.25">
      <c r="L101" s="176" t="s">
        <v>63</v>
      </c>
      <c r="M101" s="177">
        <f>SUM(M96:M100)</f>
        <v>21106.125647348359</v>
      </c>
    </row>
    <row r="102" spans="1:20" x14ac:dyDescent="0.25">
      <c r="L102" s="176"/>
      <c r="M102" s="177"/>
    </row>
    <row r="103" spans="1:20" x14ac:dyDescent="0.25">
      <c r="A103" s="178" t="s">
        <v>90</v>
      </c>
      <c r="B103" s="178"/>
      <c r="C103" s="178"/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</row>
    <row r="104" spans="1:20" ht="15.75" x14ac:dyDescent="0.25">
      <c r="A104" s="87" t="s">
        <v>76</v>
      </c>
      <c r="B104" s="62" t="s">
        <v>49</v>
      </c>
      <c r="C104" s="90" t="s">
        <v>102</v>
      </c>
      <c r="D104" s="62" t="s">
        <v>88</v>
      </c>
      <c r="E104" s="87" t="s">
        <v>75</v>
      </c>
      <c r="F104" s="62" t="s">
        <v>57</v>
      </c>
      <c r="G104" s="90" t="s">
        <v>87</v>
      </c>
      <c r="H104" s="62" t="s">
        <v>88</v>
      </c>
      <c r="I104" s="87" t="s">
        <v>77</v>
      </c>
      <c r="J104" s="62" t="s">
        <v>61</v>
      </c>
      <c r="K104" s="90" t="s">
        <v>78</v>
      </c>
      <c r="L104" s="62" t="s">
        <v>88</v>
      </c>
      <c r="M104" s="87" t="s">
        <v>86</v>
      </c>
      <c r="N104" s="62" t="s">
        <v>84</v>
      </c>
      <c r="O104" s="90" t="s">
        <v>103</v>
      </c>
      <c r="P104" s="62" t="s">
        <v>88</v>
      </c>
    </row>
    <row r="105" spans="1:20" ht="24.75" x14ac:dyDescent="0.25">
      <c r="A105" s="62" t="s">
        <v>51</v>
      </c>
      <c r="B105" s="86">
        <v>3.9101438569080559E-7</v>
      </c>
      <c r="C105" s="86">
        <f>AC90+1*L83</f>
        <v>57.666666666666664</v>
      </c>
      <c r="D105" s="86">
        <f>MAX(B105*1.5*((C105-F90)*500/2),0)</f>
        <v>0</v>
      </c>
      <c r="E105" s="62" t="s">
        <v>55</v>
      </c>
      <c r="F105" s="86">
        <v>2.6443592026242004E-10</v>
      </c>
      <c r="G105" s="86">
        <f>AC91+2*L83</f>
        <v>146.66666666666666</v>
      </c>
      <c r="H105" s="86">
        <f>F105*1.5*((G105-F91)*500/2+(G105-F92)*500 + (G105-F93)*500)</f>
        <v>1.6395027056270037E-5</v>
      </c>
      <c r="I105" s="62" t="s">
        <v>59</v>
      </c>
      <c r="J105" s="86">
        <v>2.6708120749172144E-13</v>
      </c>
      <c r="K105" s="86">
        <f>AC92+3*L83</f>
        <v>221.66666666666666</v>
      </c>
      <c r="L105" s="86">
        <f>J105*1.5*((K105-G105)*500/2+(K105-G105)*500)</f>
        <v>2.2534976882113993E-8</v>
      </c>
      <c r="M105" s="62" t="s">
        <v>83</v>
      </c>
      <c r="N105" s="86">
        <v>1.441036216965705E-15</v>
      </c>
      <c r="O105" s="86">
        <f>AC93+4*L83</f>
        <v>311.33333333333331</v>
      </c>
      <c r="P105" s="86">
        <f>N105*1.5*((O105-K105)*500/2)</f>
        <v>4.8454842795471828E-11</v>
      </c>
    </row>
    <row r="106" spans="1:20" ht="24.75" x14ac:dyDescent="0.25">
      <c r="A106" s="62" t="s">
        <v>52</v>
      </c>
      <c r="B106" s="86">
        <v>0.99999960898561435</v>
      </c>
      <c r="C106" s="88">
        <f>AC90</f>
        <v>45.666666666666664</v>
      </c>
      <c r="D106" s="86">
        <f>MAX(B106*1.5*((C106-F90)*500/2),0)</f>
        <v>0</v>
      </c>
      <c r="E106" s="62" t="s">
        <v>56</v>
      </c>
      <c r="F106" s="86">
        <v>6.7667230515902979E-4</v>
      </c>
      <c r="G106" s="86">
        <f>AC91+1*L83</f>
        <v>134.66666666666666</v>
      </c>
      <c r="H106" s="86">
        <f>F106*1.5*((G106-F91)*500/2+(G106-F92)*500)</f>
        <v>29.435245274417792</v>
      </c>
      <c r="I106" s="62" t="s">
        <v>60</v>
      </c>
      <c r="J106" s="86">
        <v>6.8370557180250845E-7</v>
      </c>
      <c r="K106" s="86">
        <f>AC92+2*L83</f>
        <v>209.66666666666666</v>
      </c>
      <c r="L106" s="86">
        <f>J106*1.5*((K106-G106)*500/2+(K106-F93)*500)</f>
        <v>5.4952835333626611E-2</v>
      </c>
      <c r="M106" s="62" t="s">
        <v>59</v>
      </c>
      <c r="N106" s="86">
        <v>3.6856432278882478E-9</v>
      </c>
      <c r="O106" s="86">
        <f>AC93+3*L83</f>
        <v>299.33333333333331</v>
      </c>
      <c r="P106" s="86">
        <f>N106*1.5*((O106-K106)*500/2)</f>
        <v>1.2392975353774232E-4</v>
      </c>
    </row>
    <row r="107" spans="1:20" x14ac:dyDescent="0.25">
      <c r="A107" s="86"/>
      <c r="B107" s="86"/>
      <c r="C107" s="89" t="s">
        <v>89</v>
      </c>
      <c r="D107" s="89">
        <f>SUM(D105:D106)</f>
        <v>0</v>
      </c>
      <c r="E107" s="62" t="s">
        <v>52</v>
      </c>
      <c r="F107" s="86">
        <v>0.99932332743040508</v>
      </c>
      <c r="G107" s="86">
        <f>AC91+0*L83</f>
        <v>122.66666666666666</v>
      </c>
      <c r="H107" s="86">
        <f>F107*1.5*((G107-F91)*500/2+(G107-F92)*500)</f>
        <v>29979.699822912142</v>
      </c>
      <c r="I107" s="62" t="s">
        <v>56</v>
      </c>
      <c r="J107" s="86">
        <v>1.0722504233112064E-6</v>
      </c>
      <c r="K107" s="86">
        <f>AC92+1*L83</f>
        <v>197.66666666666666</v>
      </c>
      <c r="L107" s="86">
        <f>J107*1.5*((K107-G107)*500/2+(K107-F93)*500)</f>
        <v>7.6531873963837344E-2</v>
      </c>
      <c r="M107" s="62" t="s">
        <v>60</v>
      </c>
      <c r="N107" s="86">
        <v>9.7730982154793246E-6</v>
      </c>
      <c r="O107" s="86">
        <f>AC93+2*L83</f>
        <v>287.33333333333331</v>
      </c>
      <c r="P107" s="86">
        <f>N107*1.5*((O107-K107)*500/2)</f>
        <v>0.32862042749549225</v>
      </c>
    </row>
    <row r="108" spans="1:20" x14ac:dyDescent="0.25">
      <c r="A108" s="86"/>
      <c r="B108" s="86"/>
      <c r="C108" s="86"/>
      <c r="D108" s="86"/>
      <c r="E108" s="86"/>
      <c r="F108" s="86"/>
      <c r="G108" s="89" t="s">
        <v>79</v>
      </c>
      <c r="H108" s="89">
        <f>SUM(H105:H107)</f>
        <v>30009.135084581587</v>
      </c>
      <c r="I108" s="62" t="s">
        <v>52</v>
      </c>
      <c r="J108" s="86">
        <v>0.99831400736261744</v>
      </c>
      <c r="K108" s="86">
        <f>AC92+0*L83</f>
        <v>185.66666666666666</v>
      </c>
      <c r="L108" s="86">
        <f>J108*1.5*((K108-G107)*500/2+(K108-F93)*500)</f>
        <v>57777.423176111479</v>
      </c>
      <c r="M108" s="62" t="s">
        <v>56</v>
      </c>
      <c r="N108" s="86">
        <v>7.0626174392981883E-3</v>
      </c>
      <c r="O108" s="86">
        <f>AC93+1*L83</f>
        <v>275.33333333333331</v>
      </c>
      <c r="P108" s="86">
        <f>N108*1.5*((O108-K108)*500/2)</f>
        <v>237.48051139640157</v>
      </c>
    </row>
    <row r="109" spans="1:20" x14ac:dyDescent="0.25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9" t="s">
        <v>79</v>
      </c>
      <c r="L109" s="89">
        <f>SUM(L105:L108)</f>
        <v>57777.554660843314</v>
      </c>
      <c r="M109" s="62" t="s">
        <v>52</v>
      </c>
      <c r="N109" s="86">
        <v>0.99292760577328709</v>
      </c>
      <c r="O109" s="86">
        <f>AC93+0*L83</f>
        <v>263.33333333333331</v>
      </c>
      <c r="P109" s="86">
        <f>N109*1.5*((O109-K108)*500/2)</f>
        <v>28919.016518146986</v>
      </c>
      <c r="Q109" s="179" t="s">
        <v>80</v>
      </c>
      <c r="R109" s="179"/>
      <c r="S109" s="180">
        <f>D107+H108+L109+P110</f>
        <v>116943.51551932558</v>
      </c>
      <c r="T109" s="180"/>
    </row>
    <row r="110" spans="1:20" x14ac:dyDescent="0.25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9" t="s">
        <v>79</v>
      </c>
      <c r="P110" s="89">
        <f>SUM(P105:P109)</f>
        <v>29156.825773900684</v>
      </c>
      <c r="Q110" s="179"/>
      <c r="R110" s="179"/>
      <c r="S110" s="180"/>
      <c r="T110" s="180"/>
    </row>
    <row r="111" spans="1:20" x14ac:dyDescent="0.25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</row>
    <row r="112" spans="1:20" x14ac:dyDescent="0.25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</row>
    <row r="113" spans="1:34" x14ac:dyDescent="0.25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</row>
    <row r="114" spans="1:34" ht="24.75" thickBot="1" x14ac:dyDescent="0.3">
      <c r="O114" s="131" t="s">
        <v>81</v>
      </c>
      <c r="P114" s="131"/>
      <c r="Q114" s="131">
        <f>(R100+P100+M101+S109)/AC93</f>
        <v>870.40886271610611</v>
      </c>
      <c r="R114" s="131"/>
    </row>
    <row r="115" spans="1:34" x14ac:dyDescent="0.25">
      <c r="A115" s="181" t="s">
        <v>92</v>
      </c>
      <c r="B115" s="182"/>
    </row>
    <row r="116" spans="1:34" ht="15.75" thickBot="1" x14ac:dyDescent="0.3">
      <c r="A116" s="183"/>
      <c r="B116" s="184"/>
    </row>
    <row r="117" spans="1:34" ht="21" x14ac:dyDescent="0.35">
      <c r="A117" s="185" t="s">
        <v>14</v>
      </c>
      <c r="B117" s="18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65"/>
      <c r="O117" s="166" t="s">
        <v>72</v>
      </c>
      <c r="P117" s="166"/>
      <c r="Q117" s="166"/>
      <c r="R117" s="166"/>
      <c r="S117" s="166"/>
      <c r="T117" s="166"/>
      <c r="U117" s="166"/>
      <c r="V117" s="166"/>
    </row>
    <row r="118" spans="1:34" ht="36" x14ac:dyDescent="0.25">
      <c r="A118" s="4" t="s">
        <v>15</v>
      </c>
      <c r="B118" s="4" t="s">
        <v>16</v>
      </c>
      <c r="C118" s="4" t="s">
        <v>31</v>
      </c>
      <c r="D118" s="6" t="s">
        <v>17</v>
      </c>
      <c r="E118" s="6" t="s">
        <v>18</v>
      </c>
      <c r="F118" s="6" t="s">
        <v>19</v>
      </c>
      <c r="G118" s="6" t="s">
        <v>20</v>
      </c>
      <c r="H118" s="6" t="s">
        <v>21</v>
      </c>
      <c r="I118" s="6" t="s">
        <v>22</v>
      </c>
      <c r="J118" s="6" t="s">
        <v>23</v>
      </c>
      <c r="K118" s="6" t="s">
        <v>24</v>
      </c>
      <c r="L118" s="6" t="s">
        <v>25</v>
      </c>
      <c r="M118" s="6" t="s">
        <v>26</v>
      </c>
      <c r="N118" s="8"/>
      <c r="O118" s="167" t="s">
        <v>32</v>
      </c>
      <c r="P118" s="167" t="s">
        <v>35</v>
      </c>
      <c r="Q118" s="167" t="s">
        <v>66</v>
      </c>
      <c r="R118" s="99" t="s">
        <v>67</v>
      </c>
      <c r="S118" s="99" t="s">
        <v>68</v>
      </c>
      <c r="T118" s="167" t="s">
        <v>69</v>
      </c>
      <c r="U118" s="71" t="s">
        <v>33</v>
      </c>
      <c r="V118" s="99" t="s">
        <v>70</v>
      </c>
    </row>
    <row r="119" spans="1:34" x14ac:dyDescent="0.25">
      <c r="A119" s="3" t="s">
        <v>27</v>
      </c>
      <c r="B119" s="3">
        <v>0</v>
      </c>
      <c r="C119" s="3">
        <v>0.3</v>
      </c>
      <c r="D119" s="3">
        <v>243</v>
      </c>
      <c r="E119" s="3">
        <v>1.73</v>
      </c>
      <c r="F119" s="3">
        <v>5</v>
      </c>
      <c r="G119" s="169">
        <v>12</v>
      </c>
      <c r="H119" s="3">
        <v>1820</v>
      </c>
      <c r="I119" s="169">
        <v>19645</v>
      </c>
      <c r="J119" s="3">
        <v>20</v>
      </c>
      <c r="K119" s="3">
        <v>40</v>
      </c>
      <c r="L119" s="3">
        <v>500</v>
      </c>
      <c r="M119" s="3">
        <v>1000</v>
      </c>
      <c r="O119" s="168"/>
      <c r="P119" s="168"/>
      <c r="Q119" s="168"/>
      <c r="R119" s="72" t="s">
        <v>71</v>
      </c>
      <c r="S119" s="72" t="s">
        <v>71</v>
      </c>
      <c r="T119" s="168"/>
      <c r="U119" s="73">
        <v>500</v>
      </c>
      <c r="V119" s="3">
        <v>1.5</v>
      </c>
    </row>
    <row r="120" spans="1:34" x14ac:dyDescent="0.25">
      <c r="A120" s="3" t="s">
        <v>28</v>
      </c>
      <c r="B120" s="3">
        <v>0</v>
      </c>
      <c r="C120" s="3">
        <v>0.3</v>
      </c>
      <c r="D120" s="3">
        <v>254</v>
      </c>
      <c r="E120" s="3">
        <v>1.88</v>
      </c>
      <c r="F120" s="3">
        <v>3</v>
      </c>
      <c r="G120" s="170"/>
      <c r="H120" s="3">
        <v>2720</v>
      </c>
      <c r="I120" s="170"/>
      <c r="J120" s="5"/>
      <c r="K120" s="5"/>
      <c r="L120" s="5"/>
      <c r="M120" s="5"/>
      <c r="O120" s="74">
        <v>1</v>
      </c>
      <c r="P120" s="74">
        <v>106</v>
      </c>
      <c r="Q120" s="74">
        <v>110</v>
      </c>
      <c r="R120" s="74">
        <v>6</v>
      </c>
      <c r="S120" s="74">
        <v>5</v>
      </c>
      <c r="T120" s="74">
        <f>R120*$U$5/60+S120</f>
        <v>55</v>
      </c>
      <c r="U120" s="75"/>
    </row>
    <row r="121" spans="1:34" x14ac:dyDescent="0.25">
      <c r="A121" s="3" t="s">
        <v>29</v>
      </c>
      <c r="B121" s="3">
        <v>0</v>
      </c>
      <c r="C121" s="3">
        <v>0.3</v>
      </c>
      <c r="D121" s="3">
        <v>143</v>
      </c>
      <c r="E121" s="3">
        <v>2.4300000000000002</v>
      </c>
      <c r="F121" s="3">
        <v>8</v>
      </c>
      <c r="G121" s="170"/>
      <c r="H121" s="3">
        <v>3700</v>
      </c>
      <c r="I121" s="170"/>
      <c r="J121" s="5"/>
      <c r="K121" s="140" t="s">
        <v>73</v>
      </c>
      <c r="L121" s="141">
        <v>12</v>
      </c>
      <c r="M121" s="140" t="s">
        <v>74</v>
      </c>
      <c r="N121" s="141">
        <v>19645</v>
      </c>
      <c r="O121" s="74">
        <v>2</v>
      </c>
      <c r="P121" s="74">
        <v>76</v>
      </c>
      <c r="Q121" s="74">
        <v>40</v>
      </c>
      <c r="R121" s="74">
        <v>9</v>
      </c>
      <c r="S121" s="74">
        <v>2</v>
      </c>
      <c r="T121" s="74">
        <f t="shared" ref="T121:T123" si="12">R121*$U$5/60+S121</f>
        <v>77</v>
      </c>
      <c r="U121" s="75"/>
    </row>
    <row r="122" spans="1:34" x14ac:dyDescent="0.25">
      <c r="A122" s="3" t="s">
        <v>30</v>
      </c>
      <c r="B122" s="3">
        <v>0</v>
      </c>
      <c r="C122" s="3">
        <v>0.3</v>
      </c>
      <c r="D122" s="3">
        <v>449</v>
      </c>
      <c r="E122" s="3">
        <v>2.5299999999999998</v>
      </c>
      <c r="F122" s="3">
        <v>4</v>
      </c>
      <c r="G122" s="171"/>
      <c r="H122" s="3">
        <v>4320</v>
      </c>
      <c r="I122" s="171"/>
      <c r="J122" s="5"/>
      <c r="K122" s="140"/>
      <c r="L122" s="141"/>
      <c r="M122" s="140"/>
      <c r="N122" s="141"/>
      <c r="O122" s="74">
        <v>3</v>
      </c>
      <c r="P122" s="74">
        <v>95</v>
      </c>
      <c r="Q122" s="74">
        <v>67</v>
      </c>
      <c r="R122" s="74">
        <v>5</v>
      </c>
      <c r="S122" s="74">
        <v>4</v>
      </c>
      <c r="T122" s="74">
        <f t="shared" si="12"/>
        <v>45.666666666666664</v>
      </c>
      <c r="U122" s="75"/>
    </row>
    <row r="123" spans="1:34" ht="15.75" thickBo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O123" s="74">
        <v>4</v>
      </c>
      <c r="P123" s="74">
        <v>140</v>
      </c>
      <c r="Q123" s="94">
        <v>85</v>
      </c>
      <c r="R123" s="94">
        <v>8</v>
      </c>
      <c r="S123" s="94">
        <v>3</v>
      </c>
      <c r="T123" s="74">
        <f t="shared" si="12"/>
        <v>69.666666666666671</v>
      </c>
    </row>
    <row r="124" spans="1:34" ht="15" customHeight="1" x14ac:dyDescent="0.25">
      <c r="A124" s="172" t="s">
        <v>104</v>
      </c>
      <c r="B124" s="144" t="s">
        <v>105</v>
      </c>
      <c r="C124" s="144"/>
      <c r="D124" s="144"/>
      <c r="E124" s="144"/>
      <c r="F124" s="20" t="s">
        <v>27</v>
      </c>
      <c r="G124" s="20" t="s">
        <v>28</v>
      </c>
      <c r="H124" s="20" t="s">
        <v>29</v>
      </c>
      <c r="I124" s="20" t="s">
        <v>30</v>
      </c>
    </row>
    <row r="125" spans="1:34" ht="15.75" customHeight="1" thickBot="1" x14ac:dyDescent="0.3">
      <c r="A125" s="173"/>
      <c r="B125" s="145"/>
      <c r="C125" s="145"/>
      <c r="D125" s="145"/>
      <c r="E125" s="145"/>
      <c r="F125" s="20">
        <v>84</v>
      </c>
      <c r="G125" s="26">
        <v>84</v>
      </c>
      <c r="H125" s="26">
        <v>84</v>
      </c>
      <c r="I125" s="26">
        <v>252</v>
      </c>
    </row>
    <row r="126" spans="1:34" ht="15.75" customHeight="1" thickBot="1" x14ac:dyDescent="0.3">
      <c r="A126" s="173"/>
      <c r="B126" s="145"/>
      <c r="C126" s="145"/>
      <c r="D126" s="145"/>
      <c r="E126" s="145"/>
      <c r="F126" s="7"/>
      <c r="G126" s="146" t="s">
        <v>27</v>
      </c>
      <c r="H126" s="147"/>
      <c r="I126" s="147"/>
      <c r="J126" s="147"/>
      <c r="K126" s="148"/>
      <c r="L126" s="149" t="s">
        <v>28</v>
      </c>
      <c r="M126" s="150"/>
      <c r="N126" s="150"/>
      <c r="O126" s="150"/>
      <c r="P126" s="151"/>
      <c r="Q126" s="152" t="s">
        <v>29</v>
      </c>
      <c r="R126" s="153"/>
      <c r="S126" s="153"/>
      <c r="T126" s="153"/>
      <c r="U126" s="154"/>
      <c r="V126" s="155" t="s">
        <v>30</v>
      </c>
      <c r="W126" s="156"/>
      <c r="X126" s="156"/>
      <c r="Y126" s="156"/>
      <c r="Z126" s="157"/>
      <c r="AA126" s="158" t="s">
        <v>42</v>
      </c>
      <c r="AB126" s="159"/>
      <c r="AC126" s="160" t="s">
        <v>44</v>
      </c>
      <c r="AD126" s="162" t="s">
        <v>47</v>
      </c>
      <c r="AE126" s="163"/>
      <c r="AF126" s="163"/>
      <c r="AG126" s="164"/>
      <c r="AH126" s="138" t="s">
        <v>62</v>
      </c>
    </row>
    <row r="127" spans="1:34" ht="36.75" x14ac:dyDescent="0.25">
      <c r="A127" s="21" t="s">
        <v>32</v>
      </c>
      <c r="B127" s="22" t="s">
        <v>37</v>
      </c>
      <c r="C127" s="23" t="s">
        <v>33</v>
      </c>
      <c r="D127" s="22" t="s">
        <v>38</v>
      </c>
      <c r="E127" s="22" t="s">
        <v>34</v>
      </c>
      <c r="F127" s="25" t="s">
        <v>35</v>
      </c>
      <c r="G127" s="27" t="s">
        <v>39</v>
      </c>
      <c r="H127" s="10" t="s">
        <v>40</v>
      </c>
      <c r="I127" s="10" t="s">
        <v>45</v>
      </c>
      <c r="J127" s="10" t="s">
        <v>46</v>
      </c>
      <c r="K127" s="28" t="s">
        <v>41</v>
      </c>
      <c r="L127" s="30" t="s">
        <v>39</v>
      </c>
      <c r="M127" s="13" t="s">
        <v>40</v>
      </c>
      <c r="N127" s="13" t="s">
        <v>45</v>
      </c>
      <c r="O127" s="13" t="s">
        <v>46</v>
      </c>
      <c r="P127" s="31" t="s">
        <v>41</v>
      </c>
      <c r="Q127" s="33" t="s">
        <v>39</v>
      </c>
      <c r="R127" s="12" t="s">
        <v>40</v>
      </c>
      <c r="S127" s="12" t="s">
        <v>45</v>
      </c>
      <c r="T127" s="12" t="s">
        <v>46</v>
      </c>
      <c r="U127" s="34" t="s">
        <v>41</v>
      </c>
      <c r="V127" s="36" t="s">
        <v>39</v>
      </c>
      <c r="W127" s="11" t="s">
        <v>40</v>
      </c>
      <c r="X127" s="11" t="s">
        <v>45</v>
      </c>
      <c r="Y127" s="11" t="s">
        <v>46</v>
      </c>
      <c r="Z127" s="37" t="s">
        <v>41</v>
      </c>
      <c r="AA127" s="39" t="s">
        <v>41</v>
      </c>
      <c r="AB127" s="40" t="s">
        <v>43</v>
      </c>
      <c r="AC127" s="161"/>
      <c r="AD127" s="43" t="s">
        <v>27</v>
      </c>
      <c r="AE127" s="1" t="s">
        <v>28</v>
      </c>
      <c r="AF127" s="1" t="s">
        <v>29</v>
      </c>
      <c r="AG127" s="1" t="s">
        <v>30</v>
      </c>
      <c r="AH127" s="139"/>
    </row>
    <row r="128" spans="1:34" x14ac:dyDescent="0.25">
      <c r="A128" s="24">
        <v>3</v>
      </c>
      <c r="B128" s="9">
        <v>5</v>
      </c>
      <c r="C128" s="9">
        <v>500</v>
      </c>
      <c r="D128" s="9">
        <v>4</v>
      </c>
      <c r="E128" s="48">
        <f>B128*C128/60+D128</f>
        <v>45.666666666666664</v>
      </c>
      <c r="F128" s="14">
        <v>95</v>
      </c>
      <c r="G128" s="49">
        <f>B$5*(1-AD128*C$5)</f>
        <v>0</v>
      </c>
      <c r="H128" s="50">
        <f>G128+E128</f>
        <v>45.666666666666664</v>
      </c>
      <c r="I128" s="15">
        <f>(H128/D$5)^E$5</f>
        <v>5.5463587496332782E-2</v>
      </c>
      <c r="J128" s="15">
        <f>(G128/D$5)^E$5</f>
        <v>0</v>
      </c>
      <c r="K128" s="29">
        <f>1-EXP(J128-I128)</f>
        <v>5.3953529036131931E-2</v>
      </c>
      <c r="L128" s="51">
        <f>B$6*(1-AE128*C$6)</f>
        <v>0</v>
      </c>
      <c r="M128" s="52">
        <f>L128+E128</f>
        <v>45.666666666666664</v>
      </c>
      <c r="N128" s="17">
        <f>(M128/D$6)^E$6</f>
        <v>3.9715434673642101E-2</v>
      </c>
      <c r="O128" s="17">
        <f>(L128/D$6)^E$6</f>
        <v>0</v>
      </c>
      <c r="P128" s="32">
        <f>1-EXP(O128-N128)</f>
        <v>3.8937114582545562E-2</v>
      </c>
      <c r="Q128" s="53">
        <f>B$7*(1-AF128*C$7)</f>
        <v>0</v>
      </c>
      <c r="R128" s="54">
        <f>Q128+E128</f>
        <v>45.666666666666664</v>
      </c>
      <c r="S128" s="16">
        <f>(R128/D$7)^E$7</f>
        <v>6.2425173515745024E-2</v>
      </c>
      <c r="T128" s="16">
        <f>(Q128/D$7)^E$7</f>
        <v>0</v>
      </c>
      <c r="U128" s="35">
        <f>1-EXP(T128-S128)</f>
        <v>6.0516641579816954E-2</v>
      </c>
      <c r="V128" s="55">
        <f>B$8*(1-AG128*C$8)</f>
        <v>0</v>
      </c>
      <c r="W128" s="56">
        <f>V128+E128</f>
        <v>45.666666666666664</v>
      </c>
      <c r="X128" s="18">
        <f>(W128/D$8)^E$8</f>
        <v>3.0803709406480337E-3</v>
      </c>
      <c r="Y128" s="18">
        <f>(V128/D$8)^E$8</f>
        <v>0</v>
      </c>
      <c r="Z128" s="38">
        <f>1-EXP(Y128-X128)</f>
        <v>3.0756314657778283E-3</v>
      </c>
      <c r="AA128" s="41">
        <f>K128*P128*U128*Z128</f>
        <v>3.9101438569080559E-7</v>
      </c>
      <c r="AB128" s="42">
        <f>1-AA128</f>
        <v>0.99999960898561435</v>
      </c>
      <c r="AC128" s="47">
        <f>(AD128*F$5+AE128*F$6+AF128*F$7+AG128*F$8)+E128</f>
        <v>45.666666666666664</v>
      </c>
      <c r="AD128" s="43">
        <v>0</v>
      </c>
      <c r="AE128" s="1">
        <v>0</v>
      </c>
      <c r="AF128" s="1">
        <v>0</v>
      </c>
      <c r="AG128" s="1">
        <v>0</v>
      </c>
      <c r="AH128" s="44">
        <v>67</v>
      </c>
    </row>
    <row r="129" spans="1:34" x14ac:dyDescent="0.25">
      <c r="A129" s="24">
        <v>2</v>
      </c>
      <c r="B129" s="9">
        <v>9</v>
      </c>
      <c r="C129" s="9">
        <v>500</v>
      </c>
      <c r="D129" s="9">
        <v>2</v>
      </c>
      <c r="E129" s="9">
        <f t="shared" ref="E129:E131" si="13">B129*C129/60+D129</f>
        <v>77</v>
      </c>
      <c r="F129" s="14">
        <v>76</v>
      </c>
      <c r="G129" s="49">
        <f>H128*(1-AD129*C$5)</f>
        <v>45.666666666666664</v>
      </c>
      <c r="H129" s="50">
        <f>G129+E129</f>
        <v>122.66666666666666</v>
      </c>
      <c r="I129" s="15">
        <f>(H129/D$5)^E$5</f>
        <v>0.30647715135734394</v>
      </c>
      <c r="J129" s="15">
        <f>(G129/D$5)^E$5</f>
        <v>5.5463587496332782E-2</v>
      </c>
      <c r="K129" s="29">
        <f>1-EXP(J129-I129)</f>
        <v>0.22198818135678478</v>
      </c>
      <c r="L129" s="51">
        <f>M128*(1-AE129*C$6)</f>
        <v>45.666666666666664</v>
      </c>
      <c r="M129" s="52">
        <f>L129+E129</f>
        <v>122.66666666666666</v>
      </c>
      <c r="N129" s="17">
        <f>(M129/D$6)^E$6</f>
        <v>0.25451802994245737</v>
      </c>
      <c r="O129" s="17">
        <f>(L129/D$6)^E$6</f>
        <v>3.9715434673642101E-2</v>
      </c>
      <c r="P129" s="32">
        <f>1-EXP(O129-N129)</f>
        <v>0.19329932901054481</v>
      </c>
      <c r="Q129" s="53">
        <f>R128*(1-AF129*C$7)</f>
        <v>45.666666666666664</v>
      </c>
      <c r="R129" s="54">
        <f>Q129+E129</f>
        <v>122.66666666666666</v>
      </c>
      <c r="S129" s="16">
        <f>(R129/D$7)^E$7</f>
        <v>0.68887270848465465</v>
      </c>
      <c r="T129" s="16">
        <f>(Q129/D$7)^E$7</f>
        <v>6.2425173515745024E-2</v>
      </c>
      <c r="U129" s="35">
        <f>1-EXP(T129-S129)</f>
        <v>0.46551282060476484</v>
      </c>
      <c r="V129" s="55">
        <f>W128*(1-AG129*C$8)</f>
        <v>45.666666666666664</v>
      </c>
      <c r="W129" s="56">
        <f>V129+E129</f>
        <v>122.66666666666666</v>
      </c>
      <c r="X129" s="18">
        <f>(W129/D$8)^E$8</f>
        <v>3.7522776286050503E-2</v>
      </c>
      <c r="Y129" s="18">
        <f>(V129/D$8)^E$8</f>
        <v>3.0803709406480337E-3</v>
      </c>
      <c r="Z129" s="38">
        <f>1-EXP(Y129-X129)</f>
        <v>3.3856017186915555E-2</v>
      </c>
      <c r="AA129" s="41">
        <f>K129*P129*U129*Z129</f>
        <v>6.7628181964517946E-4</v>
      </c>
      <c r="AB129" s="42">
        <f>1-AA129</f>
        <v>0.99932371818035481</v>
      </c>
      <c r="AC129" s="47">
        <f>AF129*F$7+E129+AC128</f>
        <v>122.66666666666666</v>
      </c>
      <c r="AD129" s="43">
        <v>0</v>
      </c>
      <c r="AE129" s="1">
        <v>0</v>
      </c>
      <c r="AF129" s="1">
        <v>0</v>
      </c>
      <c r="AG129" s="1">
        <v>0</v>
      </c>
      <c r="AH129" s="44">
        <v>40</v>
      </c>
    </row>
    <row r="130" spans="1:34" x14ac:dyDescent="0.25">
      <c r="A130" s="57">
        <v>4</v>
      </c>
      <c r="B130" s="58">
        <v>8</v>
      </c>
      <c r="C130" s="58">
        <v>500</v>
      </c>
      <c r="D130" s="58">
        <v>3</v>
      </c>
      <c r="E130" s="66">
        <f t="shared" si="13"/>
        <v>69.666666666666671</v>
      </c>
      <c r="F130" s="67">
        <v>140</v>
      </c>
      <c r="G130" s="68">
        <f>H129*(1-AD130*C$5)</f>
        <v>85.86666666666666</v>
      </c>
      <c r="H130" s="69">
        <f>G130+E130</f>
        <v>155.53333333333333</v>
      </c>
      <c r="I130" s="70">
        <f>(H130/D$5)^E$5</f>
        <v>0.46212106614830967</v>
      </c>
      <c r="J130" s="70">
        <f>(G130/D$5)^E$5</f>
        <v>0.16535514464725598</v>
      </c>
      <c r="K130" s="29">
        <f>1-EXP(J130-I130)</f>
        <v>0.25678203665269694</v>
      </c>
      <c r="L130" s="51">
        <f>M129*(1-AE130*C$6)</f>
        <v>85.86666666666666</v>
      </c>
      <c r="M130" s="52">
        <f>L130+E130</f>
        <v>155.53333333333333</v>
      </c>
      <c r="N130" s="17">
        <f>(M130/D$6)^E$6</f>
        <v>0.39768641404513894</v>
      </c>
      <c r="O130" s="17">
        <f>(L130/D$6)^E$6</f>
        <v>0.13016759122196553</v>
      </c>
      <c r="P130" s="32">
        <f>1-EXP(O130-N130)</f>
        <v>0.23472407416617413</v>
      </c>
      <c r="Q130" s="53">
        <f>R129*(1-AF130*C$7)</f>
        <v>85.86666666666666</v>
      </c>
      <c r="R130" s="54">
        <f>Q130+E130</f>
        <v>155.53333333333333</v>
      </c>
      <c r="S130" s="16">
        <f>(R130/D$7)^E$7</f>
        <v>1.2264913361397396</v>
      </c>
      <c r="T130" s="16">
        <f>(Q130/D$7)^E$7</f>
        <v>0.28955243173642403</v>
      </c>
      <c r="U130" s="35">
        <f>1-EXP(T130-S130)</f>
        <v>0.60817458347464404</v>
      </c>
      <c r="V130" s="55">
        <f>W129*(1-AG130*C$8)</f>
        <v>122.66666666666666</v>
      </c>
      <c r="W130" s="56">
        <f>V130+E130</f>
        <v>192.33333333333331</v>
      </c>
      <c r="X130" s="18">
        <f>(W130/D$8)^E$8</f>
        <v>0.11707786390726449</v>
      </c>
      <c r="Y130" s="18">
        <f>(V130/D$8)^E$8</f>
        <v>3.7522776286050503E-2</v>
      </c>
      <c r="Z130" s="38">
        <f>1-EXP(Y130-X130)</f>
        <v>7.647285634617873E-2</v>
      </c>
      <c r="AA130" s="41">
        <f>K130*P130*U130*Z130</f>
        <v>2.8032243184886157E-3</v>
      </c>
      <c r="AB130" s="42">
        <f>1-AA130</f>
        <v>0.99719677568151144</v>
      </c>
      <c r="AC130" s="47">
        <f>(AF130*F$7)+E130+AC129</f>
        <v>200.33333333333331</v>
      </c>
      <c r="AD130" s="77">
        <v>1</v>
      </c>
      <c r="AE130" s="78">
        <v>1</v>
      </c>
      <c r="AF130" s="78">
        <v>1</v>
      </c>
      <c r="AG130" s="78">
        <v>0</v>
      </c>
      <c r="AH130" s="79">
        <v>85</v>
      </c>
    </row>
    <row r="131" spans="1:34" ht="15.75" thickBot="1" x14ac:dyDescent="0.3">
      <c r="A131" s="76">
        <v>1</v>
      </c>
      <c r="B131" s="58">
        <v>6</v>
      </c>
      <c r="C131" s="58">
        <v>500</v>
      </c>
      <c r="D131" s="58">
        <v>5</v>
      </c>
      <c r="E131" s="66">
        <f t="shared" si="13"/>
        <v>55</v>
      </c>
      <c r="F131" s="67">
        <v>106</v>
      </c>
      <c r="G131" s="68">
        <f>H130*(1-AD131*C$5)</f>
        <v>108.87333333333332</v>
      </c>
      <c r="H131" s="69">
        <f>G131+E131</f>
        <v>163.87333333333333</v>
      </c>
      <c r="I131" s="70">
        <f>(H131/D$5)^E$5</f>
        <v>0.50582522627678017</v>
      </c>
      <c r="J131" s="70">
        <f>(G131/D$5)^E$5</f>
        <v>0.2493304815679428</v>
      </c>
      <c r="K131" s="29">
        <f>1-EXP(J131-I131)</f>
        <v>0.22624093912205778</v>
      </c>
      <c r="L131" s="51">
        <f>M130*(1-AE131*C$6)</f>
        <v>108.87333333333332</v>
      </c>
      <c r="M131" s="52">
        <f>L131+E131</f>
        <v>163.87333333333333</v>
      </c>
      <c r="N131" s="17">
        <f>(M131/D$6)^E$6</f>
        <v>0.43872076836143109</v>
      </c>
      <c r="O131" s="17">
        <f>(L131/D$6)^E$6</f>
        <v>0.20338788018145684</v>
      </c>
      <c r="P131" s="32">
        <f>1-EXP(O131-N131)</f>
        <v>0.20969227826402548</v>
      </c>
      <c r="Q131" s="53">
        <f>R130*(1-AF131*C$7)</f>
        <v>108.87333333333332</v>
      </c>
      <c r="R131" s="54">
        <f>Q131+E131</f>
        <v>163.87333333333333</v>
      </c>
      <c r="S131" s="16">
        <f>(R131/D$7)^E$7</f>
        <v>1.3924787239161251</v>
      </c>
      <c r="T131" s="16">
        <f>(Q131/D$7)^E$7</f>
        <v>0.5155285504982785</v>
      </c>
      <c r="U131" s="35">
        <f>1-EXP(T131-S131)</f>
        <v>0.58395014136633883</v>
      </c>
      <c r="V131" s="55">
        <f>W130*(1-AG131*C$8)</f>
        <v>192.33333333333331</v>
      </c>
      <c r="W131" s="56">
        <f>V131+E131</f>
        <v>247.33333333333331</v>
      </c>
      <c r="X131" s="18">
        <f>(W131/D$8)^E$8</f>
        <v>0.221218713919872</v>
      </c>
      <c r="Y131" s="18">
        <f>(V131/D$8)^E$8</f>
        <v>0.11707786390726449</v>
      </c>
      <c r="Z131" s="38">
        <f>1-EXP(Y131-X131)</f>
        <v>9.8901631234137977E-2</v>
      </c>
      <c r="AA131" s="41">
        <f>K131*P131*U131*Z131</f>
        <v>2.7398882866781229E-3</v>
      </c>
      <c r="AB131" s="42">
        <f>1-AA131</f>
        <v>0.99726011171332185</v>
      </c>
      <c r="AC131" s="47">
        <f>(AF131*F$7)+E131+AC130</f>
        <v>263.33333333333331</v>
      </c>
      <c r="AD131" s="80">
        <v>1</v>
      </c>
      <c r="AE131" s="45">
        <v>1</v>
      </c>
      <c r="AF131" s="81">
        <v>1</v>
      </c>
      <c r="AG131" s="45">
        <v>0</v>
      </c>
      <c r="AH131" s="82">
        <v>110</v>
      </c>
    </row>
    <row r="132" spans="1:34" ht="18.75" x14ac:dyDescent="0.3">
      <c r="A132" s="132" t="s">
        <v>53</v>
      </c>
      <c r="B132" s="132"/>
      <c r="C132" s="132"/>
      <c r="D132" s="132"/>
      <c r="E132" s="132"/>
      <c r="F132" s="132"/>
      <c r="G132" s="132"/>
      <c r="H132" s="132"/>
      <c r="I132" s="132"/>
      <c r="J132" s="132"/>
      <c r="AG132" s="46"/>
    </row>
    <row r="133" spans="1:34" ht="15.75" x14ac:dyDescent="0.25">
      <c r="A133" s="19" t="s">
        <v>54</v>
      </c>
      <c r="B133" s="60" t="s">
        <v>49</v>
      </c>
      <c r="C133" s="61" t="s">
        <v>50</v>
      </c>
      <c r="D133" s="19" t="s">
        <v>48</v>
      </c>
      <c r="E133" s="60" t="s">
        <v>57</v>
      </c>
      <c r="F133" s="61" t="s">
        <v>50</v>
      </c>
      <c r="G133" s="19" t="s">
        <v>82</v>
      </c>
      <c r="H133" s="60" t="s">
        <v>61</v>
      </c>
      <c r="I133" s="61" t="s">
        <v>50</v>
      </c>
      <c r="J133" s="19" t="s">
        <v>58</v>
      </c>
      <c r="K133" s="83" t="s">
        <v>84</v>
      </c>
      <c r="L133" s="61" t="s">
        <v>50</v>
      </c>
      <c r="M133" s="61" t="s">
        <v>85</v>
      </c>
      <c r="O133" s="174" t="s">
        <v>64</v>
      </c>
      <c r="P133" s="174"/>
      <c r="Q133" s="175" t="s">
        <v>109</v>
      </c>
      <c r="R133" s="175"/>
    </row>
    <row r="134" spans="1:34" ht="24.75" x14ac:dyDescent="0.25">
      <c r="A134" s="61" t="s">
        <v>51</v>
      </c>
      <c r="B134" s="1">
        <f>AA128</f>
        <v>3.9101438569080559E-7</v>
      </c>
      <c r="C134" s="59">
        <f>MAX(AC128+1*L121-F128,0)</f>
        <v>0</v>
      </c>
      <c r="D134" s="62" t="s">
        <v>55</v>
      </c>
      <c r="E134" s="1">
        <f>AA128*AA129</f>
        <v>2.6443592026242004E-10</v>
      </c>
      <c r="F134" s="1">
        <f>MAX(AC129+2*L121-F129,0)</f>
        <v>70.666666666666657</v>
      </c>
      <c r="G134" s="62" t="s">
        <v>59</v>
      </c>
      <c r="H134" s="1">
        <f>AA128*AA129*AA130</f>
        <v>7.4127320236153235E-13</v>
      </c>
      <c r="I134" s="1">
        <f>AC130+3*L121-F130</f>
        <v>96.333333333333314</v>
      </c>
      <c r="J134" s="62" t="s">
        <v>83</v>
      </c>
      <c r="K134" s="1">
        <f>AA128*AA129*AA130*AA131</f>
        <v>2.0310057643787442E-15</v>
      </c>
      <c r="L134" s="1">
        <f>AC131+4*L121-F131</f>
        <v>205.33333333333331</v>
      </c>
      <c r="M134" s="1">
        <f>B134*C134*AH128+E134*F134*AH129+H134*I134*AH130+K134*L134*AH131</f>
        <v>7.5358786699730898E-7</v>
      </c>
      <c r="O134" s="1" t="s">
        <v>27</v>
      </c>
      <c r="P134" s="1">
        <f>2*H119</f>
        <v>3640</v>
      </c>
      <c r="Q134" s="1">
        <f>(K128*(1-P128)*(1-U128)*(1-Z128))+(P128*(1-K128)*(1-U128)*(1-Z128))+(U128*(1-K128)*(1-P128)*(1-Z128))+(Z128*(1-K128)*(1-P128)*(1-U128))</f>
        <v>0.1405459062810282</v>
      </c>
      <c r="R134" s="1">
        <f>Q134*(L$7*(J$5*K$5+L$5)+I$5)</f>
        <v>4953.5404668748388</v>
      </c>
    </row>
    <row r="135" spans="1:34" ht="24.75" x14ac:dyDescent="0.25">
      <c r="A135" s="62" t="s">
        <v>52</v>
      </c>
      <c r="B135" s="1">
        <f>AB128</f>
        <v>0.99999960898561435</v>
      </c>
      <c r="C135" s="59">
        <f>MAX(AC128-F128,0)</f>
        <v>0</v>
      </c>
      <c r="D135" s="62" t="s">
        <v>56</v>
      </c>
      <c r="E135" s="1">
        <f>AA128*AB129+AA129*AB128</f>
        <v>6.7667230515902979E-4</v>
      </c>
      <c r="F135" s="1">
        <f>MAX(AC129+1*L121-F129,0)</f>
        <v>58.666666666666657</v>
      </c>
      <c r="G135" s="62" t="s">
        <v>60</v>
      </c>
      <c r="H135" s="1">
        <f>AA128*AA129*AB130+AA129*AA130*AB128+AA128*AA130*AB129</f>
        <v>1.8971279561166019E-6</v>
      </c>
      <c r="I135" s="1">
        <f>AC130+2*L121-F130</f>
        <v>84.333333333333314</v>
      </c>
      <c r="J135" s="62" t="s">
        <v>59</v>
      </c>
      <c r="K135">
        <f>AB128*AA129*AA130*AA131+AB129*AA128*AA130*AA131*+AB130*AA128*AA129*AA131+AB131*AA128*AA129*AA130</f>
        <v>5.1949342502347159E-9</v>
      </c>
      <c r="L135" s="1">
        <f>AC131+3*L121-F131</f>
        <v>193.33333333333331</v>
      </c>
      <c r="M135" s="1">
        <f>B135*C135*AH128+E135*F135*AH129+H135*I135*AH130+K135*L135*AH131</f>
        <v>1.6016340672736737</v>
      </c>
      <c r="O135" s="1" t="s">
        <v>28</v>
      </c>
      <c r="P135" s="1">
        <f>2*H120</f>
        <v>5440</v>
      </c>
      <c r="Q135" s="1">
        <f t="shared" ref="Q135:Q137" si="14">(K129*(1-P129)*(1-U129)*(1-Z129))+(P129*(1-K129)*(1-U129)*(1-Z129))+(U129*(1-K129)*(1-P129)*(1-Z129))+(Z129*(1-K129)*(1-P129)*(1-U129))</f>
        <v>0.4637660892509754</v>
      </c>
      <c r="R135" s="1">
        <f t="shared" ref="R135:R137" si="15">Q135*(L$7*(J$5*K$5+L$5)+I$5)</f>
        <v>16345.435815650628</v>
      </c>
    </row>
    <row r="136" spans="1:34" ht="24.75" x14ac:dyDescent="0.25">
      <c r="A136" s="1"/>
      <c r="B136" s="1"/>
      <c r="C136" s="1"/>
      <c r="D136" s="62" t="s">
        <v>52</v>
      </c>
      <c r="E136" s="1">
        <f>AB128*AB129</f>
        <v>0.99932332743040508</v>
      </c>
      <c r="F136" s="59">
        <f>MAX(AC129-F129,0)</f>
        <v>46.666666666666657</v>
      </c>
      <c r="G136" s="62" t="s">
        <v>56</v>
      </c>
      <c r="H136" s="1">
        <f>AA128*AB129*AB130+AA129*AB128*AB130*+AA130*AB128*AB129</f>
        <v>2.2788300074328993E-6</v>
      </c>
      <c r="I136" s="1">
        <f>AC130+1*L121-F130</f>
        <v>72.333333333333314</v>
      </c>
      <c r="J136" s="62" t="s">
        <v>60</v>
      </c>
      <c r="K136" s="1">
        <f>AA128*AA129*AB130*AB131 + AA128*AA130*AB129*AB131 + AA128*AA131*AB129*AB130 + AA129*AA130*AB128*AB131 + AA129*AA131*AB128*AB130 + AA130*AA131*AB128*AB129</f>
        <v>1.1416063641060397E-5</v>
      </c>
      <c r="L136" s="1">
        <f>AC131+2*L121-F131</f>
        <v>181.33333333333331</v>
      </c>
      <c r="M136" s="1">
        <f>B136*C136*AH128+E136*F136*AH129+H136*I136*AH130+K136*L136*AH131</f>
        <v>1865.6452679593451</v>
      </c>
      <c r="O136" s="1" t="s">
        <v>29</v>
      </c>
      <c r="P136" s="1">
        <f>2*(F121*(J119*K119+L119)+H121)</f>
        <v>28200</v>
      </c>
      <c r="Q136" s="1">
        <f t="shared" si="14"/>
        <v>0.47073556715921316</v>
      </c>
      <c r="R136" s="1">
        <f t="shared" si="15"/>
        <v>16591.075064526467</v>
      </c>
    </row>
    <row r="137" spans="1:34" ht="24.75" x14ac:dyDescent="0.25">
      <c r="A137" s="1"/>
      <c r="B137" s="1"/>
      <c r="C137" s="1"/>
      <c r="D137" s="1"/>
      <c r="E137" s="1"/>
      <c r="F137" s="1"/>
      <c r="G137" s="62" t="s">
        <v>52</v>
      </c>
      <c r="H137" s="1">
        <f>AB128*AB129*AB130</f>
        <v>0.99652199997691926</v>
      </c>
      <c r="I137" s="63">
        <f>AC130-F130</f>
        <v>60.333333333333314</v>
      </c>
      <c r="J137" s="62" t="s">
        <v>56</v>
      </c>
      <c r="K137" s="1">
        <f>AA128*AB129*AB130*AB131+AA129*AB128*AB130*AB131+AA130*AB128*AB129*AB131+AA131*AB128*AB129*AB130</f>
        <v>6.1969377159336418E-3</v>
      </c>
      <c r="L137" s="1">
        <f>AC131+1*L121-F131</f>
        <v>169.33333333333331</v>
      </c>
      <c r="M137" s="1">
        <f>B137*C137*AH128+E137*F137*AH129+H137*I137*AH130+K137*L137*AH131</f>
        <v>5225.9252830704236</v>
      </c>
      <c r="O137" s="1" t="s">
        <v>30</v>
      </c>
      <c r="P137" s="1">
        <v>0</v>
      </c>
      <c r="Q137" s="1">
        <f t="shared" si="14"/>
        <v>0.47479633122704734</v>
      </c>
      <c r="R137" s="1">
        <f t="shared" si="15"/>
        <v>16734.196694097285</v>
      </c>
    </row>
    <row r="138" spans="1:34" ht="30" x14ac:dyDescent="0.25">
      <c r="I138" s="84"/>
      <c r="J138" s="62" t="s">
        <v>52</v>
      </c>
      <c r="K138" s="85">
        <f>AB128*AB129*AB130*AB131</f>
        <v>0.99379164102176543</v>
      </c>
      <c r="L138" s="1">
        <f>AC131+0*L121-F131</f>
        <v>157.33333333333331</v>
      </c>
      <c r="M138" s="1">
        <f>B138*C138*AH128+E138*F138*AH129+H138*I138*AH130+K138*L138*AH131</f>
        <v>17199.220667283349</v>
      </c>
      <c r="O138" s="64" t="s">
        <v>65</v>
      </c>
      <c r="P138" s="65">
        <f>SUM(P134:P137)</f>
        <v>37280</v>
      </c>
      <c r="Q138" s="96" t="s">
        <v>108</v>
      </c>
      <c r="R138" s="97">
        <f>SUM(R134:R137)</f>
        <v>54624.248041149222</v>
      </c>
    </row>
    <row r="139" spans="1:34" x14ac:dyDescent="0.25">
      <c r="L139" s="176" t="s">
        <v>63</v>
      </c>
      <c r="M139" s="177">
        <f>SUM(M134:M138)</f>
        <v>24292.392853133977</v>
      </c>
    </row>
    <row r="140" spans="1:34" x14ac:dyDescent="0.25">
      <c r="L140" s="176"/>
      <c r="M140" s="177"/>
    </row>
    <row r="141" spans="1:34" x14ac:dyDescent="0.25">
      <c r="A141" s="178" t="s">
        <v>90</v>
      </c>
      <c r="B141" s="178"/>
      <c r="C141" s="178"/>
      <c r="D141" s="178"/>
      <c r="E141" s="178"/>
      <c r="F141" s="178"/>
      <c r="G141" s="178"/>
      <c r="H141" s="178"/>
      <c r="I141" s="178"/>
      <c r="J141" s="178"/>
      <c r="K141" s="178"/>
      <c r="L141" s="178"/>
      <c r="M141" s="178"/>
      <c r="N141" s="178"/>
    </row>
    <row r="142" spans="1:34" ht="15.75" x14ac:dyDescent="0.25">
      <c r="A142" s="87" t="s">
        <v>76</v>
      </c>
      <c r="B142" s="62" t="s">
        <v>49</v>
      </c>
      <c r="C142" s="90" t="s">
        <v>102</v>
      </c>
      <c r="D142" s="62" t="s">
        <v>88</v>
      </c>
      <c r="E142" s="87" t="s">
        <v>75</v>
      </c>
      <c r="F142" s="62" t="s">
        <v>57</v>
      </c>
      <c r="G142" s="90" t="s">
        <v>87</v>
      </c>
      <c r="H142" s="62" t="s">
        <v>88</v>
      </c>
      <c r="I142" s="87" t="s">
        <v>86</v>
      </c>
      <c r="J142" s="62" t="s">
        <v>61</v>
      </c>
      <c r="K142" s="90" t="s">
        <v>103</v>
      </c>
      <c r="L142" s="62" t="s">
        <v>88</v>
      </c>
      <c r="M142" s="87" t="s">
        <v>77</v>
      </c>
      <c r="N142" s="62" t="s">
        <v>84</v>
      </c>
      <c r="O142" s="90" t="s">
        <v>78</v>
      </c>
      <c r="P142" s="62" t="s">
        <v>88</v>
      </c>
    </row>
    <row r="143" spans="1:34" ht="24.75" x14ac:dyDescent="0.25">
      <c r="A143" s="62" t="s">
        <v>51</v>
      </c>
      <c r="B143" s="86">
        <v>3.9101438569080559E-7</v>
      </c>
      <c r="C143" s="86">
        <f>AC128+1*L121</f>
        <v>57.666666666666664</v>
      </c>
      <c r="D143" s="86">
        <f>MAX(B143*1.5*((C143-F128)*500/2),0)</f>
        <v>0</v>
      </c>
      <c r="E143" s="62" t="s">
        <v>55</v>
      </c>
      <c r="F143" s="86">
        <v>2.6443592026242004E-10</v>
      </c>
      <c r="G143" s="86">
        <f>AC129+2*L121</f>
        <v>146.66666666666666</v>
      </c>
      <c r="H143" s="86">
        <f>F143*1.5*((G143-F129)*500/2+(G143-F130)*500 + (G143-F131)*500)</f>
        <v>1.6395027056270037E-5</v>
      </c>
      <c r="I143" s="62" t="s">
        <v>59</v>
      </c>
      <c r="J143" s="86">
        <v>7.4127320236153235E-13</v>
      </c>
      <c r="K143" s="86">
        <f>AC130+3*L121</f>
        <v>236.33333333333331</v>
      </c>
      <c r="L143" s="86">
        <f>J143*1.5*((K143-G143)*500/2+(K143-G143)*500)</f>
        <v>7.4775934288219576E-8</v>
      </c>
      <c r="M143" s="62" t="s">
        <v>83</v>
      </c>
      <c r="N143" s="86">
        <v>2.0310057643787442E-15</v>
      </c>
      <c r="O143" s="86">
        <f>AC131+4*L121</f>
        <v>311.33333333333331</v>
      </c>
      <c r="P143" s="86">
        <f>N143*1.5*((O143-K143)*500/2)</f>
        <v>5.712203712315218E-11</v>
      </c>
    </row>
    <row r="144" spans="1:34" ht="24.75" x14ac:dyDescent="0.25">
      <c r="A144" s="62" t="s">
        <v>52</v>
      </c>
      <c r="B144" s="86">
        <v>0.99999960898561435</v>
      </c>
      <c r="C144" s="88">
        <f>AC128</f>
        <v>45.666666666666664</v>
      </c>
      <c r="D144" s="86">
        <f>MAX(B144*1.5*((C144-F128)*500/2),0)</f>
        <v>0</v>
      </c>
      <c r="E144" s="62" t="s">
        <v>56</v>
      </c>
      <c r="F144" s="86">
        <v>6.7667230515902979E-4</v>
      </c>
      <c r="G144" s="86">
        <f>AC129+1*L121</f>
        <v>134.66666666666666</v>
      </c>
      <c r="H144" s="86">
        <f>F144*1.5*((G144-F129)*500/2+(G144-F131)*500)</f>
        <v>29.435245274417792</v>
      </c>
      <c r="I144" s="62" t="s">
        <v>60</v>
      </c>
      <c r="J144" s="86">
        <v>1.8971279561166019E-6</v>
      </c>
      <c r="K144" s="86">
        <f>AC130+2*L121</f>
        <v>224.33333333333331</v>
      </c>
      <c r="L144" s="86">
        <f>J144*1.5*((K144-F130)*500/2+(K144-G144)*500)</f>
        <v>0.18757852666102898</v>
      </c>
      <c r="M144" s="62" t="s">
        <v>59</v>
      </c>
      <c r="N144" s="86">
        <v>5.1949342502347159E-9</v>
      </c>
      <c r="O144" s="86">
        <f>AC131+3*L121</f>
        <v>299.33333333333331</v>
      </c>
      <c r="P144" s="86">
        <f>N144*1.5*((O144-K144)*500/2)</f>
        <v>1.4610752578785138E-4</v>
      </c>
    </row>
    <row r="145" spans="1:22" x14ac:dyDescent="0.25">
      <c r="A145" s="86"/>
      <c r="B145" s="86"/>
      <c r="C145" s="89" t="s">
        <v>89</v>
      </c>
      <c r="D145" s="89">
        <f>SUM(D143:D144)</f>
        <v>0</v>
      </c>
      <c r="E145" s="62" t="s">
        <v>52</v>
      </c>
      <c r="F145" s="86">
        <v>0.99932332743040508</v>
      </c>
      <c r="G145" s="86">
        <f>AC129+0*L121</f>
        <v>122.66666666666666</v>
      </c>
      <c r="H145" s="86">
        <f>F145*1.5*((G145-F129)*500/2+(G145-F131)*500)</f>
        <v>29979.699822912142</v>
      </c>
      <c r="I145" s="62" t="s">
        <v>56</v>
      </c>
      <c r="J145" s="86">
        <v>2.2788300074328993E-6</v>
      </c>
      <c r="K145" s="86">
        <f>AC130+1*L121</f>
        <v>212.33333333333331</v>
      </c>
      <c r="L145" s="86">
        <f>J145*1.5*((K145-F130)*500/2+(K145-G145)*500)</f>
        <v>0.21506458195147984</v>
      </c>
      <c r="M145" s="62" t="s">
        <v>60</v>
      </c>
      <c r="N145" s="86">
        <v>1.1416063641060397E-5</v>
      </c>
      <c r="O145" s="86">
        <f>AC131+2*L121</f>
        <v>287.33333333333331</v>
      </c>
      <c r="P145" s="86">
        <f>N145*1.5*((O145-K145)*500/2)</f>
        <v>0.32107678990482363</v>
      </c>
    </row>
    <row r="146" spans="1:22" x14ac:dyDescent="0.25">
      <c r="A146" s="86"/>
      <c r="B146" s="86"/>
      <c r="C146" s="86"/>
      <c r="D146" s="86"/>
      <c r="E146" s="86"/>
      <c r="F146" s="86"/>
      <c r="G146" s="89" t="s">
        <v>79</v>
      </c>
      <c r="H146" s="89">
        <f>SUM(H143:H145)</f>
        <v>30009.135084581587</v>
      </c>
      <c r="I146" s="62" t="s">
        <v>52</v>
      </c>
      <c r="J146" s="86">
        <v>0.99652199997691926</v>
      </c>
      <c r="K146" s="86">
        <f>AC130+0*L121</f>
        <v>200.33333333333331</v>
      </c>
      <c r="L146" s="86">
        <f>J146*1.5*((K146-F130)*500/2+(K146-G145)*500)</f>
        <v>80593.716748133331</v>
      </c>
      <c r="M146" s="62" t="s">
        <v>56</v>
      </c>
      <c r="N146" s="86">
        <v>6.1969377159336418E-3</v>
      </c>
      <c r="O146" s="86">
        <f>AC131+1*L121</f>
        <v>275.33333333333331</v>
      </c>
      <c r="P146" s="86">
        <f>N146*1.5*((O146-K146)*500/2)</f>
        <v>174.28887326063366</v>
      </c>
    </row>
    <row r="147" spans="1:22" x14ac:dyDescent="0.25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9" t="s">
        <v>79</v>
      </c>
      <c r="L147" s="89">
        <f>SUM(L143:L146)</f>
        <v>80594.119391316723</v>
      </c>
      <c r="M147" s="62" t="s">
        <v>52</v>
      </c>
      <c r="N147" s="86">
        <v>0.99379164102176543</v>
      </c>
      <c r="O147" s="86">
        <f>AC131+0*L121</f>
        <v>263.33333333333331</v>
      </c>
      <c r="P147" s="86">
        <f>N147*1.5*((O147-K146)*500/2)</f>
        <v>23478.327519139209</v>
      </c>
      <c r="Q147" s="179" t="s">
        <v>80</v>
      </c>
      <c r="R147" s="179"/>
      <c r="S147" s="180">
        <f>D145+H146+L147+P148</f>
        <v>134256.19209119564</v>
      </c>
      <c r="T147" s="180"/>
    </row>
    <row r="148" spans="1:22" x14ac:dyDescent="0.25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9" t="s">
        <v>79</v>
      </c>
      <c r="P148" s="89">
        <f>SUM(P143:P147)</f>
        <v>23652.937615297331</v>
      </c>
      <c r="Q148" s="179"/>
      <c r="R148" s="179"/>
      <c r="S148" s="180"/>
      <c r="T148" s="180"/>
    </row>
    <row r="149" spans="1:22" x14ac:dyDescent="0.25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</row>
    <row r="150" spans="1:22" x14ac:dyDescent="0.25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</row>
    <row r="151" spans="1:22" x14ac:dyDescent="0.25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</row>
    <row r="152" spans="1:22" ht="24.75" thickBot="1" x14ac:dyDescent="0.3">
      <c r="O152" s="131" t="s">
        <v>81</v>
      </c>
      <c r="P152" s="131"/>
      <c r="Q152" s="131">
        <f>(R138+P138+M139+S147)/AC131</f>
        <v>951.08670753979322</v>
      </c>
      <c r="R152" s="131"/>
    </row>
    <row r="153" spans="1:22" x14ac:dyDescent="0.25">
      <c r="A153" s="181" t="s">
        <v>95</v>
      </c>
      <c r="B153" s="182"/>
    </row>
    <row r="154" spans="1:22" ht="15.75" thickBot="1" x14ac:dyDescent="0.3">
      <c r="A154" s="183"/>
      <c r="B154" s="184"/>
    </row>
    <row r="155" spans="1:22" ht="21" x14ac:dyDescent="0.35">
      <c r="A155" s="185" t="s">
        <v>14</v>
      </c>
      <c r="B155" s="185"/>
      <c r="C155" s="165"/>
      <c r="D155" s="165"/>
      <c r="E155" s="165"/>
      <c r="F155" s="165"/>
      <c r="G155" s="165"/>
      <c r="H155" s="165"/>
      <c r="I155" s="165"/>
      <c r="J155" s="165"/>
      <c r="K155" s="165"/>
      <c r="L155" s="165"/>
      <c r="M155" s="165"/>
      <c r="O155" s="166" t="s">
        <v>72</v>
      </c>
      <c r="P155" s="166"/>
      <c r="Q155" s="166"/>
      <c r="R155" s="166"/>
      <c r="S155" s="166"/>
      <c r="T155" s="166"/>
      <c r="U155" s="166"/>
      <c r="V155" s="166"/>
    </row>
    <row r="156" spans="1:22" ht="36" x14ac:dyDescent="0.25">
      <c r="A156" s="4" t="s">
        <v>15</v>
      </c>
      <c r="B156" s="4" t="s">
        <v>16</v>
      </c>
      <c r="C156" s="4" t="s">
        <v>31</v>
      </c>
      <c r="D156" s="6" t="s">
        <v>17</v>
      </c>
      <c r="E156" s="6" t="s">
        <v>18</v>
      </c>
      <c r="F156" s="6" t="s">
        <v>19</v>
      </c>
      <c r="G156" s="6" t="s">
        <v>20</v>
      </c>
      <c r="H156" s="6" t="s">
        <v>21</v>
      </c>
      <c r="I156" s="6" t="s">
        <v>22</v>
      </c>
      <c r="J156" s="6" t="s">
        <v>23</v>
      </c>
      <c r="K156" s="6" t="s">
        <v>24</v>
      </c>
      <c r="L156" s="6" t="s">
        <v>25</v>
      </c>
      <c r="M156" s="6" t="s">
        <v>26</v>
      </c>
      <c r="N156" s="8"/>
      <c r="O156" s="167" t="s">
        <v>32</v>
      </c>
      <c r="P156" s="167" t="s">
        <v>35</v>
      </c>
      <c r="Q156" s="167" t="s">
        <v>66</v>
      </c>
      <c r="R156" s="99" t="s">
        <v>67</v>
      </c>
      <c r="S156" s="99" t="s">
        <v>68</v>
      </c>
      <c r="T156" s="167" t="s">
        <v>69</v>
      </c>
      <c r="U156" s="71" t="s">
        <v>33</v>
      </c>
      <c r="V156" s="99" t="s">
        <v>70</v>
      </c>
    </row>
    <row r="157" spans="1:22" x14ac:dyDescent="0.25">
      <c r="A157" s="3" t="s">
        <v>27</v>
      </c>
      <c r="B157" s="3">
        <v>0</v>
      </c>
      <c r="C157" s="3">
        <v>0.3</v>
      </c>
      <c r="D157" s="3">
        <v>243</v>
      </c>
      <c r="E157" s="3">
        <v>1.73</v>
      </c>
      <c r="F157" s="3">
        <v>5</v>
      </c>
      <c r="G157" s="169">
        <v>12</v>
      </c>
      <c r="H157" s="3">
        <v>1820</v>
      </c>
      <c r="I157" s="169">
        <v>19645</v>
      </c>
      <c r="J157" s="3">
        <v>20</v>
      </c>
      <c r="K157" s="3">
        <v>40</v>
      </c>
      <c r="L157" s="3">
        <v>500</v>
      </c>
      <c r="M157" s="3">
        <v>1000</v>
      </c>
      <c r="O157" s="168"/>
      <c r="P157" s="168"/>
      <c r="Q157" s="168"/>
      <c r="R157" s="72" t="s">
        <v>71</v>
      </c>
      <c r="S157" s="72" t="s">
        <v>71</v>
      </c>
      <c r="T157" s="168"/>
      <c r="U157" s="73">
        <v>500</v>
      </c>
      <c r="V157" s="3">
        <v>1.5</v>
      </c>
    </row>
    <row r="158" spans="1:22" x14ac:dyDescent="0.25">
      <c r="A158" s="3" t="s">
        <v>28</v>
      </c>
      <c r="B158" s="3">
        <v>0</v>
      </c>
      <c r="C158" s="3">
        <v>0.3</v>
      </c>
      <c r="D158" s="3">
        <v>254</v>
      </c>
      <c r="E158" s="3">
        <v>1.88</v>
      </c>
      <c r="F158" s="3">
        <v>3</v>
      </c>
      <c r="G158" s="170"/>
      <c r="H158" s="3">
        <v>2720</v>
      </c>
      <c r="I158" s="170"/>
      <c r="J158" s="5"/>
      <c r="K158" s="5"/>
      <c r="L158" s="5"/>
      <c r="M158" s="5"/>
      <c r="O158" s="74">
        <v>1</v>
      </c>
      <c r="P158" s="74">
        <v>106</v>
      </c>
      <c r="Q158" s="74">
        <v>110</v>
      </c>
      <c r="R158" s="74">
        <v>6</v>
      </c>
      <c r="S158" s="74">
        <v>5</v>
      </c>
      <c r="T158" s="74">
        <f>R158*$U$5/60+S158</f>
        <v>55</v>
      </c>
      <c r="U158" s="75"/>
    </row>
    <row r="159" spans="1:22" x14ac:dyDescent="0.25">
      <c r="A159" s="3" t="s">
        <v>29</v>
      </c>
      <c r="B159" s="3">
        <v>0</v>
      </c>
      <c r="C159" s="3">
        <v>0.3</v>
      </c>
      <c r="D159" s="3">
        <v>143</v>
      </c>
      <c r="E159" s="3">
        <v>2.4300000000000002</v>
      </c>
      <c r="F159" s="3">
        <v>8</v>
      </c>
      <c r="G159" s="170"/>
      <c r="H159" s="3">
        <v>3700</v>
      </c>
      <c r="I159" s="170"/>
      <c r="J159" s="5"/>
      <c r="K159" s="140" t="s">
        <v>73</v>
      </c>
      <c r="L159" s="141">
        <v>12</v>
      </c>
      <c r="M159" s="140" t="s">
        <v>74</v>
      </c>
      <c r="N159" s="141">
        <v>19645</v>
      </c>
      <c r="O159" s="74">
        <v>2</v>
      </c>
      <c r="P159" s="74">
        <v>76</v>
      </c>
      <c r="Q159" s="74">
        <v>40</v>
      </c>
      <c r="R159" s="74">
        <v>9</v>
      </c>
      <c r="S159" s="74">
        <v>2</v>
      </c>
      <c r="T159" s="74">
        <f t="shared" ref="T159:T161" si="16">R159*$U$5/60+S159</f>
        <v>77</v>
      </c>
      <c r="U159" s="75"/>
    </row>
    <row r="160" spans="1:22" x14ac:dyDescent="0.25">
      <c r="A160" s="3" t="s">
        <v>30</v>
      </c>
      <c r="B160" s="3">
        <v>0</v>
      </c>
      <c r="C160" s="3">
        <v>0.3</v>
      </c>
      <c r="D160" s="3">
        <v>449</v>
      </c>
      <c r="E160" s="3">
        <v>2.5299999999999998</v>
      </c>
      <c r="F160" s="3">
        <v>4</v>
      </c>
      <c r="G160" s="171"/>
      <c r="H160" s="3">
        <v>4320</v>
      </c>
      <c r="I160" s="171"/>
      <c r="J160" s="5"/>
      <c r="K160" s="140"/>
      <c r="L160" s="141"/>
      <c r="M160" s="140"/>
      <c r="N160" s="141"/>
      <c r="O160" s="74">
        <v>3</v>
      </c>
      <c r="P160" s="74">
        <v>95</v>
      </c>
      <c r="Q160" s="74">
        <v>67</v>
      </c>
      <c r="R160" s="74">
        <v>5</v>
      </c>
      <c r="S160" s="74">
        <v>4</v>
      </c>
      <c r="T160" s="74">
        <f t="shared" si="16"/>
        <v>45.666666666666664</v>
      </c>
      <c r="U160" s="75"/>
    </row>
    <row r="161" spans="1:34" ht="15.75" thickBo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O161" s="74">
        <v>4</v>
      </c>
      <c r="P161" s="74">
        <v>140</v>
      </c>
      <c r="Q161" s="94">
        <v>85</v>
      </c>
      <c r="R161" s="94">
        <v>8</v>
      </c>
      <c r="S161" s="94">
        <v>3</v>
      </c>
      <c r="T161" s="74">
        <f t="shared" si="16"/>
        <v>69.666666666666671</v>
      </c>
    </row>
    <row r="162" spans="1:34" ht="15" customHeight="1" x14ac:dyDescent="0.25">
      <c r="A162" s="172" t="s">
        <v>104</v>
      </c>
      <c r="B162" s="144" t="s">
        <v>105</v>
      </c>
      <c r="C162" s="144"/>
      <c r="D162" s="144"/>
      <c r="E162" s="144"/>
      <c r="F162" s="20" t="s">
        <v>27</v>
      </c>
      <c r="G162" s="20" t="s">
        <v>28</v>
      </c>
      <c r="H162" s="20" t="s">
        <v>29</v>
      </c>
      <c r="I162" s="20" t="s">
        <v>30</v>
      </c>
    </row>
    <row r="163" spans="1:34" ht="15.75" customHeight="1" thickBot="1" x14ac:dyDescent="0.3">
      <c r="A163" s="173"/>
      <c r="B163" s="145"/>
      <c r="C163" s="145"/>
      <c r="D163" s="145"/>
      <c r="E163" s="145"/>
      <c r="F163" s="20">
        <v>84</v>
      </c>
      <c r="G163" s="26">
        <v>84</v>
      </c>
      <c r="H163" s="26">
        <v>84</v>
      </c>
      <c r="I163" s="26">
        <v>252</v>
      </c>
    </row>
    <row r="164" spans="1:34" ht="15.75" customHeight="1" thickBot="1" x14ac:dyDescent="0.3">
      <c r="A164" s="173"/>
      <c r="B164" s="145"/>
      <c r="C164" s="145"/>
      <c r="D164" s="145"/>
      <c r="E164" s="145"/>
      <c r="F164" s="7"/>
      <c r="G164" s="146" t="s">
        <v>27</v>
      </c>
      <c r="H164" s="147"/>
      <c r="I164" s="147"/>
      <c r="J164" s="147"/>
      <c r="K164" s="148"/>
      <c r="L164" s="149" t="s">
        <v>28</v>
      </c>
      <c r="M164" s="150"/>
      <c r="N164" s="150"/>
      <c r="O164" s="150"/>
      <c r="P164" s="151"/>
      <c r="Q164" s="152" t="s">
        <v>29</v>
      </c>
      <c r="R164" s="153"/>
      <c r="S164" s="153"/>
      <c r="T164" s="153"/>
      <c r="U164" s="154"/>
      <c r="V164" s="155" t="s">
        <v>30</v>
      </c>
      <c r="W164" s="156"/>
      <c r="X164" s="156"/>
      <c r="Y164" s="156"/>
      <c r="Z164" s="157"/>
      <c r="AA164" s="158" t="s">
        <v>42</v>
      </c>
      <c r="AB164" s="159"/>
      <c r="AC164" s="160" t="s">
        <v>44</v>
      </c>
      <c r="AD164" s="162" t="s">
        <v>47</v>
      </c>
      <c r="AE164" s="163"/>
      <c r="AF164" s="163"/>
      <c r="AG164" s="164"/>
      <c r="AH164" s="138" t="s">
        <v>62</v>
      </c>
    </row>
    <row r="165" spans="1:34" ht="36.75" x14ac:dyDescent="0.25">
      <c r="A165" s="21" t="s">
        <v>32</v>
      </c>
      <c r="B165" s="22" t="s">
        <v>37</v>
      </c>
      <c r="C165" s="23" t="s">
        <v>33</v>
      </c>
      <c r="D165" s="22" t="s">
        <v>38</v>
      </c>
      <c r="E165" s="22" t="s">
        <v>34</v>
      </c>
      <c r="F165" s="25" t="s">
        <v>35</v>
      </c>
      <c r="G165" s="27" t="s">
        <v>39</v>
      </c>
      <c r="H165" s="10" t="s">
        <v>40</v>
      </c>
      <c r="I165" s="10" t="s">
        <v>45</v>
      </c>
      <c r="J165" s="10" t="s">
        <v>46</v>
      </c>
      <c r="K165" s="28" t="s">
        <v>41</v>
      </c>
      <c r="L165" s="30" t="s">
        <v>39</v>
      </c>
      <c r="M165" s="13" t="s">
        <v>40</v>
      </c>
      <c r="N165" s="13" t="s">
        <v>45</v>
      </c>
      <c r="O165" s="13" t="s">
        <v>46</v>
      </c>
      <c r="P165" s="31" t="s">
        <v>41</v>
      </c>
      <c r="Q165" s="33" t="s">
        <v>39</v>
      </c>
      <c r="R165" s="12" t="s">
        <v>40</v>
      </c>
      <c r="S165" s="12" t="s">
        <v>45</v>
      </c>
      <c r="T165" s="12" t="s">
        <v>46</v>
      </c>
      <c r="U165" s="34" t="s">
        <v>41</v>
      </c>
      <c r="V165" s="36" t="s">
        <v>39</v>
      </c>
      <c r="W165" s="11" t="s">
        <v>40</v>
      </c>
      <c r="X165" s="11" t="s">
        <v>45</v>
      </c>
      <c r="Y165" s="11" t="s">
        <v>46</v>
      </c>
      <c r="Z165" s="37" t="s">
        <v>41</v>
      </c>
      <c r="AA165" s="39" t="s">
        <v>41</v>
      </c>
      <c r="AB165" s="40" t="s">
        <v>43</v>
      </c>
      <c r="AC165" s="161"/>
      <c r="AD165" s="43" t="s">
        <v>27</v>
      </c>
      <c r="AE165" s="1" t="s">
        <v>28</v>
      </c>
      <c r="AF165" s="1" t="s">
        <v>29</v>
      </c>
      <c r="AG165" s="1" t="s">
        <v>30</v>
      </c>
      <c r="AH165" s="139"/>
    </row>
    <row r="166" spans="1:34" x14ac:dyDescent="0.25">
      <c r="A166" s="24">
        <v>3</v>
      </c>
      <c r="B166" s="9">
        <v>5</v>
      </c>
      <c r="C166" s="9">
        <v>500</v>
      </c>
      <c r="D166" s="9">
        <v>4</v>
      </c>
      <c r="E166" s="48">
        <f>B166*C166/60+D166</f>
        <v>45.666666666666664</v>
      </c>
      <c r="F166" s="14">
        <v>95</v>
      </c>
      <c r="G166" s="49">
        <f>B$5*(1-AD166*C$5)</f>
        <v>0</v>
      </c>
      <c r="H166" s="50">
        <f>G166+E166</f>
        <v>45.666666666666664</v>
      </c>
      <c r="I166" s="15">
        <f>(H166/D$5)^E$5</f>
        <v>5.5463587496332782E-2</v>
      </c>
      <c r="J166" s="15">
        <f>(G166/D$5)^E$5</f>
        <v>0</v>
      </c>
      <c r="K166" s="29">
        <f>1-EXP(J166-I166)</f>
        <v>5.3953529036131931E-2</v>
      </c>
      <c r="L166" s="51">
        <f>B$6*(1-AE166*C$6)</f>
        <v>0</v>
      </c>
      <c r="M166" s="52">
        <f>L166+E166</f>
        <v>45.666666666666664</v>
      </c>
      <c r="N166" s="17">
        <f>(M166/D$6)^E$6</f>
        <v>3.9715434673642101E-2</v>
      </c>
      <c r="O166" s="17">
        <f>(L166/D$6)^E$6</f>
        <v>0</v>
      </c>
      <c r="P166" s="32">
        <f>1-EXP(O166-N166)</f>
        <v>3.8937114582545562E-2</v>
      </c>
      <c r="Q166" s="53">
        <f>B$7*(1-AF166*C$7)</f>
        <v>0</v>
      </c>
      <c r="R166" s="54">
        <f>Q166+E166</f>
        <v>45.666666666666664</v>
      </c>
      <c r="S166" s="16">
        <f>(R166/D$7)^E$7</f>
        <v>6.2425173515745024E-2</v>
      </c>
      <c r="T166" s="16">
        <f>(Q166/D$7)^E$7</f>
        <v>0</v>
      </c>
      <c r="U166" s="35">
        <f>1-EXP(T166-S166)</f>
        <v>6.0516641579816954E-2</v>
      </c>
      <c r="V166" s="55">
        <f>B$8*(1-AG166*C$8)</f>
        <v>0</v>
      </c>
      <c r="W166" s="56">
        <f>V166+E166</f>
        <v>45.666666666666664</v>
      </c>
      <c r="X166" s="18">
        <f>(W166/D$8)^E$8</f>
        <v>3.0803709406480337E-3</v>
      </c>
      <c r="Y166" s="18">
        <f>(V166/D$8)^E$8</f>
        <v>0</v>
      </c>
      <c r="Z166" s="38">
        <f>1-EXP(Y166-X166)</f>
        <v>3.0756314657778283E-3</v>
      </c>
      <c r="AA166" s="41">
        <f>K166*P166*U166*Z166</f>
        <v>3.9101438569080559E-7</v>
      </c>
      <c r="AB166" s="42">
        <f>1-AA166</f>
        <v>0.99999960898561435</v>
      </c>
      <c r="AC166" s="47">
        <f>(AD166*F$5+AE166*F$6+AF166*F$7+AG166*F$8)+E166</f>
        <v>45.666666666666664</v>
      </c>
      <c r="AD166" s="43">
        <v>0</v>
      </c>
      <c r="AE166" s="1">
        <v>0</v>
      </c>
      <c r="AF166" s="1">
        <v>0</v>
      </c>
      <c r="AG166" s="1">
        <v>0</v>
      </c>
      <c r="AH166" s="44">
        <v>67</v>
      </c>
    </row>
    <row r="167" spans="1:34" x14ac:dyDescent="0.25">
      <c r="A167" s="24">
        <v>4</v>
      </c>
      <c r="B167" s="9">
        <v>8</v>
      </c>
      <c r="C167" s="9">
        <v>500</v>
      </c>
      <c r="D167" s="9">
        <v>3</v>
      </c>
      <c r="E167" s="9">
        <f t="shared" ref="E167:E169" si="17">B167*C167/60+D167</f>
        <v>69.666666666666671</v>
      </c>
      <c r="F167" s="14">
        <v>140</v>
      </c>
      <c r="G167" s="49">
        <f>H166*(1-AD167*C$5)</f>
        <v>45.666666666666664</v>
      </c>
      <c r="H167" s="50">
        <f>G167+E167</f>
        <v>115.33333333333334</v>
      </c>
      <c r="I167" s="15">
        <f>(H167/D$5)^E$5</f>
        <v>0.27547552976184858</v>
      </c>
      <c r="J167" s="15">
        <f>(G167/D$5)^E$5</f>
        <v>5.5463587496332782E-2</v>
      </c>
      <c r="K167" s="29">
        <f>1-EXP(J167-I167)</f>
        <v>0.19749078587286173</v>
      </c>
      <c r="L167" s="51">
        <f>M166*(1-AE167*C$6)</f>
        <v>45.666666666666664</v>
      </c>
      <c r="M167" s="52">
        <f>L167+E167</f>
        <v>115.33333333333334</v>
      </c>
      <c r="N167" s="17">
        <f>(M167/D$6)^E$6</f>
        <v>0.22666669883015245</v>
      </c>
      <c r="O167" s="17">
        <f>(L167/D$6)^E$6</f>
        <v>3.9715434673642101E-2</v>
      </c>
      <c r="P167" s="32">
        <f>1-EXP(O167-N167)</f>
        <v>0.17051583898942002</v>
      </c>
      <c r="Q167" s="53">
        <f>R166*(1-AF167*C$7)</f>
        <v>45.666666666666664</v>
      </c>
      <c r="R167" s="54">
        <f>Q167+E167</f>
        <v>115.33333333333334</v>
      </c>
      <c r="S167" s="16">
        <f>(R167/D$7)^E$7</f>
        <v>0.59303960801780564</v>
      </c>
      <c r="T167" s="16">
        <f>(Q167/D$7)^E$7</f>
        <v>6.2425173515745024E-2</v>
      </c>
      <c r="U167" s="35">
        <f>1-EXP(T167-S167)</f>
        <v>0.41175657843790647</v>
      </c>
      <c r="V167" s="55">
        <f>W166*(1-AG167*C$8)</f>
        <v>45.666666666666664</v>
      </c>
      <c r="W167" s="56">
        <f>V167+E167</f>
        <v>115.33333333333334</v>
      </c>
      <c r="X167" s="18">
        <f>(W167/D$8)^E$8</f>
        <v>3.2104248826077181E-2</v>
      </c>
      <c r="Y167" s="18">
        <f>(V167/D$8)^E$8</f>
        <v>3.0803709406480337E-3</v>
      </c>
      <c r="Z167" s="38">
        <f>1-EXP(Y167-X167)</f>
        <v>2.8606730627511734E-2</v>
      </c>
      <c r="AA167" s="41">
        <f>K167*P167*U167*Z167</f>
        <v>3.9666176239845391E-4</v>
      </c>
      <c r="AB167" s="42">
        <f>1-AA167</f>
        <v>0.9996033382376015</v>
      </c>
      <c r="AC167" s="47">
        <f>AF167*F$7+E167+AC166</f>
        <v>115.33333333333334</v>
      </c>
      <c r="AD167" s="43">
        <v>0</v>
      </c>
      <c r="AE167" s="1">
        <v>0</v>
      </c>
      <c r="AF167" s="1">
        <v>0</v>
      </c>
      <c r="AG167" s="1">
        <v>0</v>
      </c>
      <c r="AH167" s="44">
        <v>85</v>
      </c>
    </row>
    <row r="168" spans="1:34" x14ac:dyDescent="0.25">
      <c r="A168" s="57">
        <v>2</v>
      </c>
      <c r="B168" s="58">
        <v>9</v>
      </c>
      <c r="C168" s="58">
        <v>500</v>
      </c>
      <c r="D168" s="58">
        <v>2</v>
      </c>
      <c r="E168" s="66">
        <f t="shared" si="17"/>
        <v>77</v>
      </c>
      <c r="F168" s="67">
        <v>76</v>
      </c>
      <c r="G168" s="68">
        <f>H167*(1-AD168*C$5)</f>
        <v>80.733333333333334</v>
      </c>
      <c r="H168" s="69">
        <f>G168+E168</f>
        <v>157.73333333333335</v>
      </c>
      <c r="I168" s="70">
        <f>(H168/D$5)^E$5</f>
        <v>0.473487773687709</v>
      </c>
      <c r="J168" s="70">
        <f>(G168/D$5)^E$5</f>
        <v>0.14862868526677991</v>
      </c>
      <c r="K168" s="29">
        <f>1-EXP(J168-I168)</f>
        <v>0.27737082671398927</v>
      </c>
      <c r="L168" s="51">
        <f>M167*(1-AE168*C$6)</f>
        <v>80.733333333333334</v>
      </c>
      <c r="M168" s="52">
        <f>L168+E168</f>
        <v>157.73333333333335</v>
      </c>
      <c r="N168" s="17">
        <f>(M168/D$6)^E$6</f>
        <v>0.40832762011069829</v>
      </c>
      <c r="O168" s="17">
        <f>(L168/D$6)^E$6</f>
        <v>0.11592364675943075</v>
      </c>
      <c r="P168" s="32">
        <f>1-EXP(O168-N168)</f>
        <v>0.25353307768869848</v>
      </c>
      <c r="Q168" s="53">
        <f>R167*(1-AF168*C$7)</f>
        <v>80.733333333333334</v>
      </c>
      <c r="R168" s="54">
        <f>Q168+E168</f>
        <v>157.73333333333335</v>
      </c>
      <c r="S168" s="16">
        <f>(R168/D$7)^E$7</f>
        <v>1.269075582984684</v>
      </c>
      <c r="T168" s="16">
        <f>(Q168/D$7)^E$7</f>
        <v>0.24927110408438607</v>
      </c>
      <c r="U168" s="35">
        <f>1-EXP(T168-S168)</f>
        <v>0.63933454901472087</v>
      </c>
      <c r="V168" s="55">
        <f>W167*(1-AG168*C$8)</f>
        <v>115.33333333333334</v>
      </c>
      <c r="W168" s="56">
        <f>V168+E168</f>
        <v>192.33333333333334</v>
      </c>
      <c r="X168" s="18">
        <f>(W168/D$8)^E$8</f>
        <v>0.11707786390726455</v>
      </c>
      <c r="Y168" s="18">
        <f>(V168/D$8)^E$8</f>
        <v>3.2104248826077181E-2</v>
      </c>
      <c r="Z168" s="38">
        <f>1-EXP(Y168-X168)</f>
        <v>8.1463480406769873E-2</v>
      </c>
      <c r="AA168" s="41">
        <f>K168*P168*U168*Z168</f>
        <v>3.6625751465290003E-3</v>
      </c>
      <c r="AB168" s="42">
        <f>1-AA168</f>
        <v>0.99633742485347099</v>
      </c>
      <c r="AC168" s="47">
        <f>(AF168*F$7)+E168+AC167</f>
        <v>200.33333333333334</v>
      </c>
      <c r="AD168" s="77">
        <v>1</v>
      </c>
      <c r="AE168" s="78">
        <v>1</v>
      </c>
      <c r="AF168" s="78">
        <v>1</v>
      </c>
      <c r="AG168" s="78">
        <v>0</v>
      </c>
      <c r="AH168" s="79">
        <v>40</v>
      </c>
    </row>
    <row r="169" spans="1:34" ht="15.75" thickBot="1" x14ac:dyDescent="0.3">
      <c r="A169" s="76">
        <v>1</v>
      </c>
      <c r="B169" s="58">
        <v>6</v>
      </c>
      <c r="C169" s="58">
        <v>500</v>
      </c>
      <c r="D169" s="58">
        <v>5</v>
      </c>
      <c r="E169" s="66">
        <f t="shared" si="17"/>
        <v>55</v>
      </c>
      <c r="F169" s="67">
        <v>106</v>
      </c>
      <c r="G169" s="68">
        <f>H168*(1-AD169*C$5)</f>
        <v>110.41333333333334</v>
      </c>
      <c r="H169" s="69">
        <f>G169+E169</f>
        <v>165.41333333333336</v>
      </c>
      <c r="I169" s="70">
        <f>(H169/D$5)^E$5</f>
        <v>0.51407695397697584</v>
      </c>
      <c r="J169" s="70">
        <f>(G169/D$5)^E$5</f>
        <v>0.25546321792697063</v>
      </c>
      <c r="K169" s="29">
        <f>1-EXP(J169-I169)</f>
        <v>0.22787879196136918</v>
      </c>
      <c r="L169" s="51">
        <f>M168*(1-AE169*C$6)</f>
        <v>110.41333333333334</v>
      </c>
      <c r="M169" s="52">
        <f>L169+E169</f>
        <v>165.41333333333336</v>
      </c>
      <c r="N169" s="17">
        <f>(M169/D$6)^E$6</f>
        <v>0.44650381920973092</v>
      </c>
      <c r="O169" s="17">
        <f>(L169/D$6)^E$6</f>
        <v>0.20883008858438834</v>
      </c>
      <c r="P169" s="32">
        <f>1-EXP(O169-N169)</f>
        <v>0.21154010054978001</v>
      </c>
      <c r="Q169" s="53">
        <f>R168*(1-AF169*C$7)</f>
        <v>110.41333333333334</v>
      </c>
      <c r="R169" s="54">
        <f>Q169+E169</f>
        <v>165.41333333333336</v>
      </c>
      <c r="S169" s="16">
        <f>(R169/D$7)^E$7</f>
        <v>1.4244912195012376</v>
      </c>
      <c r="T169" s="16">
        <f>(Q169/D$7)^E$7</f>
        <v>0.53342789833968418</v>
      </c>
      <c r="U169" s="35">
        <f>1-EXP(T169-S169)</f>
        <v>0.58978067412758073</v>
      </c>
      <c r="V169" s="55">
        <f>W168*(1-AG169*C$8)</f>
        <v>192.33333333333334</v>
      </c>
      <c r="W169" s="56">
        <f>V169+E169</f>
        <v>247.33333333333334</v>
      </c>
      <c r="X169" s="18">
        <f>(W169/D$8)^E$8</f>
        <v>0.22121871391987213</v>
      </c>
      <c r="Y169" s="18">
        <f>(V169/D$8)^E$8</f>
        <v>0.11707786390726455</v>
      </c>
      <c r="Z169" s="38">
        <f>1-EXP(Y169-X169)</f>
        <v>9.8901631234138088E-2</v>
      </c>
      <c r="AA169" s="41">
        <f>K169*P169*U169*Z169</f>
        <v>2.8118400158315101E-3</v>
      </c>
      <c r="AB169" s="42">
        <f>1-AA169</f>
        <v>0.99718815998416854</v>
      </c>
      <c r="AC169" s="47">
        <f>(AF169*F$7)+E169+AC168</f>
        <v>263.33333333333337</v>
      </c>
      <c r="AD169" s="80">
        <v>1</v>
      </c>
      <c r="AE169" s="45">
        <v>1</v>
      </c>
      <c r="AF169" s="81">
        <v>1</v>
      </c>
      <c r="AG169" s="45">
        <v>0</v>
      </c>
      <c r="AH169" s="82">
        <v>110</v>
      </c>
    </row>
    <row r="170" spans="1:34" ht="18.75" x14ac:dyDescent="0.3">
      <c r="A170" s="132" t="s">
        <v>53</v>
      </c>
      <c r="B170" s="132"/>
      <c r="C170" s="132"/>
      <c r="D170" s="132"/>
      <c r="E170" s="132"/>
      <c r="F170" s="132"/>
      <c r="G170" s="132"/>
      <c r="H170" s="132"/>
      <c r="I170" s="132"/>
      <c r="J170" s="132"/>
      <c r="AG170" s="46"/>
    </row>
    <row r="171" spans="1:34" ht="15.75" x14ac:dyDescent="0.25">
      <c r="A171" s="19" t="s">
        <v>54</v>
      </c>
      <c r="B171" s="60" t="s">
        <v>49</v>
      </c>
      <c r="C171" s="61" t="s">
        <v>50</v>
      </c>
      <c r="D171" s="19" t="s">
        <v>82</v>
      </c>
      <c r="E171" s="60" t="s">
        <v>57</v>
      </c>
      <c r="F171" s="61" t="s">
        <v>50</v>
      </c>
      <c r="G171" s="19" t="s">
        <v>48</v>
      </c>
      <c r="H171" s="60" t="s">
        <v>61</v>
      </c>
      <c r="I171" s="61" t="s">
        <v>50</v>
      </c>
      <c r="J171" s="19" t="s">
        <v>58</v>
      </c>
      <c r="K171" s="83" t="s">
        <v>84</v>
      </c>
      <c r="L171" s="61" t="s">
        <v>50</v>
      </c>
      <c r="M171" s="61" t="s">
        <v>85</v>
      </c>
      <c r="O171" s="174" t="s">
        <v>64</v>
      </c>
      <c r="P171" s="174"/>
      <c r="Q171" s="175" t="s">
        <v>109</v>
      </c>
      <c r="R171" s="175"/>
    </row>
    <row r="172" spans="1:34" ht="24.75" x14ac:dyDescent="0.25">
      <c r="A172" s="61" t="s">
        <v>51</v>
      </c>
      <c r="B172" s="1">
        <f>AA166</f>
        <v>3.9101438569080559E-7</v>
      </c>
      <c r="C172" s="59">
        <f>MAX(AC166+1*L159-F166,0)</f>
        <v>0</v>
      </c>
      <c r="D172" s="62" t="s">
        <v>55</v>
      </c>
      <c r="E172" s="1">
        <f>AA166*AA167</f>
        <v>1.5510045535126374E-10</v>
      </c>
      <c r="F172" s="1">
        <f>MAX(AC167+2*L159-F167,0)</f>
        <v>0</v>
      </c>
      <c r="G172" s="62" t="s">
        <v>59</v>
      </c>
      <c r="H172" s="1">
        <f>AA166*AA167*AA168</f>
        <v>5.6806707298486943E-13</v>
      </c>
      <c r="I172" s="1">
        <f>AC168+3*L159-F168</f>
        <v>160.33333333333334</v>
      </c>
      <c r="J172" s="62" t="s">
        <v>83</v>
      </c>
      <c r="K172" s="1">
        <f>AA166*AA167*AA168*AA169</f>
        <v>1.5973137274951349E-15</v>
      </c>
      <c r="L172" s="1">
        <f>AC169+4*L159-F169</f>
        <v>205.33333333333337</v>
      </c>
      <c r="M172" s="1">
        <f>B172*C172*AH166+E172*F172*AH167+H172*I172*AH168+K172*L172*AH169</f>
        <v>3.679281487467986E-9</v>
      </c>
      <c r="O172" s="1" t="s">
        <v>27</v>
      </c>
      <c r="P172" s="1">
        <f>2*H157</f>
        <v>3640</v>
      </c>
      <c r="Q172" s="1">
        <f>(K166*(1-P166)*(1-U166)*(1-Z166))+(P166*(1-K166)*(1-U166)*(1-Z166))+(U166*(1-K166)*(1-P166)*(1-Z166))+(Z166*(1-K166)*(1-P166)*(1-U166))</f>
        <v>0.1405459062810282</v>
      </c>
      <c r="R172" s="1">
        <f>Q172*(L$7*(J$5*K$5+L$5)+I$5)</f>
        <v>4953.5404668748388</v>
      </c>
    </row>
    <row r="173" spans="1:34" ht="24.75" x14ac:dyDescent="0.25">
      <c r="A173" s="62" t="s">
        <v>52</v>
      </c>
      <c r="B173" s="1">
        <f>AB166</f>
        <v>0.99999960898561435</v>
      </c>
      <c r="C173" s="59">
        <f>MAX(AC166-F166,0)</f>
        <v>0</v>
      </c>
      <c r="D173" s="62" t="s">
        <v>56</v>
      </c>
      <c r="E173" s="1">
        <f>AA166*AB167+AA167*AB166</f>
        <v>3.9705246658323402E-4</v>
      </c>
      <c r="F173" s="1">
        <f>MAX(AC167+1*L159-F167,0)</f>
        <v>0</v>
      </c>
      <c r="G173" s="62" t="s">
        <v>60</v>
      </c>
      <c r="H173" s="1">
        <f>AA166*AA167*AB168+AA167*AA168*AB166+AA166*AA168*AB167</f>
        <v>1.4543890283640677E-6</v>
      </c>
      <c r="I173" s="1">
        <f>AC168+2*L159-F168</f>
        <v>148.33333333333334</v>
      </c>
      <c r="J173" s="62" t="s">
        <v>59</v>
      </c>
      <c r="K173">
        <f>AB166*AA167*AA168*AA169+AB167*AA166*AA168*AA169*+AB168*AA166*AA167*AA169+AB169*AA166*AA167*AA168</f>
        <v>4.0856159241431796E-9</v>
      </c>
      <c r="L173" s="1">
        <f>AC169+3*L159-F169</f>
        <v>193.33333333333337</v>
      </c>
      <c r="M173" s="1">
        <f>B173*C173*AH166+E173*F173*AH167+H173*I173*AH168+K173*L173*AH169</f>
        <v>8.7162623336135819E-3</v>
      </c>
      <c r="O173" s="1" t="s">
        <v>28</v>
      </c>
      <c r="P173" s="1">
        <f>2*H158</f>
        <v>5440</v>
      </c>
      <c r="Q173" s="1">
        <f t="shared" ref="Q173:Q175" si="18">(K167*(1-P167)*(1-U167)*(1-Z167))+(P167*(1-K167)*(1-U167)*(1-Z167))+(U167*(1-K167)*(1-P167)*(1-Z167))+(Z167*(1-K167)*(1-P167)*(1-U167))</f>
        <v>0.44925379312516944</v>
      </c>
      <c r="R173" s="1">
        <f t="shared" ref="R173:R175" si="19">Q173*(L$7*(J$5*K$5+L$5)+I$5)</f>
        <v>15833.949938696596</v>
      </c>
    </row>
    <row r="174" spans="1:34" ht="24.75" x14ac:dyDescent="0.25">
      <c r="A174" s="1"/>
      <c r="B174" s="1"/>
      <c r="C174" s="1"/>
      <c r="D174" s="62" t="s">
        <v>52</v>
      </c>
      <c r="E174" s="1">
        <f>AB166*AB167</f>
        <v>0.99960294737831634</v>
      </c>
      <c r="F174" s="59">
        <f>MAX(AC167-F167,0)</f>
        <v>0</v>
      </c>
      <c r="G174" s="62" t="s">
        <v>56</v>
      </c>
      <c r="H174" s="1">
        <f>AA166*AB167*AB168+AA167*AB166*AB168*+AA168*AB166*AB167</f>
        <v>1.8363349517453203E-6</v>
      </c>
      <c r="I174" s="1">
        <f>AC168+1*L159-F168</f>
        <v>136.33333333333334</v>
      </c>
      <c r="J174" s="62" t="s">
        <v>60</v>
      </c>
      <c r="K174" s="1">
        <f>AA166*AA167*AB168*AB169 + AA166*AA168*AB167*AB169 + AA166*AA169*AB167*AB168 + AA167*AA168*AB166*AB169 + AA167*AA169*AB166*AB168 + AA168*AA169*AB166*AB167</f>
        <v>1.285714473992538E-5</v>
      </c>
      <c r="L174" s="1">
        <f>AC169+2*L159-F169</f>
        <v>181.33333333333337</v>
      </c>
      <c r="M174" s="1">
        <f>B174*C174*AH166+E174*F174*AH167+H174*I174*AH168+K174*L174*AH169</f>
        <v>0.2664713270158961</v>
      </c>
      <c r="O174" s="1" t="s">
        <v>29</v>
      </c>
      <c r="P174" s="1">
        <f>2*(F159*(J157*K157+L157)+H159)</f>
        <v>28200</v>
      </c>
      <c r="Q174" s="1">
        <f t="shared" si="18"/>
        <v>0.46191008582700943</v>
      </c>
      <c r="R174" s="1">
        <f t="shared" si="19"/>
        <v>16280.020974972947</v>
      </c>
    </row>
    <row r="175" spans="1:34" ht="24.75" x14ac:dyDescent="0.25">
      <c r="A175" s="1"/>
      <c r="B175" s="1"/>
      <c r="C175" s="1"/>
      <c r="D175" s="1"/>
      <c r="E175" s="1"/>
      <c r="F175" s="1"/>
      <c r="G175" s="62" t="s">
        <v>52</v>
      </c>
      <c r="H175" s="1">
        <f>AB166*AB167*AB168</f>
        <v>0.99594182646685137</v>
      </c>
      <c r="I175" s="63">
        <f>AC168-F168</f>
        <v>124.33333333333334</v>
      </c>
      <c r="J175" s="62" t="s">
        <v>56</v>
      </c>
      <c r="K175" s="1">
        <f>AA166*AB167*AB168*AB169+AA167*AB166*AB168*AB169+AA168*AB166*AB167*AB169+AA169*AB166*AB167*AB168</f>
        <v>6.8457413794312007E-3</v>
      </c>
      <c r="L175" s="1">
        <f>AC169+1*L159-F169</f>
        <v>169.33333333333337</v>
      </c>
      <c r="M175" s="1">
        <f>B175*C175*AH166+E175*F175*AH167+H175*I175*AH168+K175*L175*AH169</f>
        <v>5080.664026389346</v>
      </c>
      <c r="O175" s="1" t="s">
        <v>30</v>
      </c>
      <c r="P175" s="1">
        <v>0</v>
      </c>
      <c r="Q175" s="1">
        <f t="shared" si="18"/>
        <v>0.47503135818838715</v>
      </c>
      <c r="R175" s="1">
        <f t="shared" si="19"/>
        <v>16742.480219349705</v>
      </c>
    </row>
    <row r="176" spans="1:34" ht="30" x14ac:dyDescent="0.25">
      <c r="I176" s="84"/>
      <c r="J176" s="62" t="s">
        <v>52</v>
      </c>
      <c r="K176" s="85">
        <f>AB166*AB167*AB168*AB169</f>
        <v>0.99314139738575158</v>
      </c>
      <c r="L176" s="1">
        <f>AC169+0*L159-F169</f>
        <v>157.33333333333337</v>
      </c>
      <c r="M176" s="1">
        <f>B176*C176*AH166+E176*F176*AH167+H176*I176*AH168+K176*L176*AH169</f>
        <v>17187.967117422744</v>
      </c>
      <c r="O176" s="64" t="s">
        <v>65</v>
      </c>
      <c r="P176" s="65">
        <f>SUM(P172:P175)</f>
        <v>37280</v>
      </c>
      <c r="Q176" s="96" t="s">
        <v>108</v>
      </c>
      <c r="R176" s="97">
        <f>SUM(R172:R175)</f>
        <v>53809.991599894085</v>
      </c>
    </row>
    <row r="177" spans="1:20" x14ac:dyDescent="0.25">
      <c r="L177" s="176" t="s">
        <v>63</v>
      </c>
      <c r="M177" s="177">
        <f>SUM(M172:M176)</f>
        <v>22268.90633140512</v>
      </c>
    </row>
    <row r="178" spans="1:20" x14ac:dyDescent="0.25">
      <c r="L178" s="176"/>
      <c r="M178" s="177"/>
    </row>
    <row r="179" spans="1:20" x14ac:dyDescent="0.25">
      <c r="A179" s="178" t="s">
        <v>90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</row>
    <row r="180" spans="1:20" ht="15.75" x14ac:dyDescent="0.25">
      <c r="A180" s="87" t="s">
        <v>76</v>
      </c>
      <c r="B180" s="62" t="s">
        <v>49</v>
      </c>
      <c r="C180" s="90" t="s">
        <v>102</v>
      </c>
      <c r="D180" s="62" t="s">
        <v>88</v>
      </c>
      <c r="E180" s="87" t="s">
        <v>86</v>
      </c>
      <c r="F180" s="62" t="s">
        <v>57</v>
      </c>
      <c r="G180" s="90" t="s">
        <v>103</v>
      </c>
      <c r="H180" s="62" t="s">
        <v>88</v>
      </c>
      <c r="I180" s="87" t="s">
        <v>75</v>
      </c>
      <c r="J180" s="62" t="s">
        <v>61</v>
      </c>
      <c r="K180" s="90" t="s">
        <v>87</v>
      </c>
      <c r="L180" s="62" t="s">
        <v>88</v>
      </c>
      <c r="M180" s="87" t="s">
        <v>77</v>
      </c>
      <c r="N180" s="62" t="s">
        <v>84</v>
      </c>
      <c r="O180" s="90" t="s">
        <v>78</v>
      </c>
      <c r="P180" s="62" t="s">
        <v>88</v>
      </c>
    </row>
    <row r="181" spans="1:20" ht="24.75" x14ac:dyDescent="0.25">
      <c r="A181" s="62" t="s">
        <v>51</v>
      </c>
      <c r="B181" s="86">
        <v>3.9101438569080559E-7</v>
      </c>
      <c r="C181" s="86">
        <f>AC166+1*L159</f>
        <v>57.666666666666664</v>
      </c>
      <c r="D181" s="86">
        <f>MAX(B181*1.5*((C181-F166)*500/2),0)</f>
        <v>0</v>
      </c>
      <c r="E181" s="62" t="s">
        <v>55</v>
      </c>
      <c r="F181" s="86">
        <v>1.5510045535126374E-10</v>
      </c>
      <c r="G181" s="86">
        <f>AC167+2*L159</f>
        <v>139.33333333333334</v>
      </c>
      <c r="H181" s="86">
        <f>F181*1.5*((G181-F167)*500/2+(G181-F168)*500 + (G181-F169)*500)</f>
        <v>1.1206007899128807E-5</v>
      </c>
      <c r="I181" s="62" t="s">
        <v>59</v>
      </c>
      <c r="J181" s="86">
        <v>5.6806707298486943E-13</v>
      </c>
      <c r="K181" s="86">
        <f>AC168+3*L159</f>
        <v>236.33333333333334</v>
      </c>
      <c r="L181" s="86">
        <f>J181*1.5*((K181-G181)*500/2+(K181-G181)*500)</f>
        <v>6.1990319339473872E-8</v>
      </c>
      <c r="M181" s="62" t="s">
        <v>83</v>
      </c>
      <c r="N181" s="86">
        <v>1.5973137274951349E-15</v>
      </c>
      <c r="O181" s="86">
        <f>AC169+4*L159</f>
        <v>311.33333333333337</v>
      </c>
      <c r="P181" s="86">
        <f>N181*1.5*((O181-K181)*500/2)</f>
        <v>4.492444858580069E-11</v>
      </c>
    </row>
    <row r="182" spans="1:20" ht="24.75" x14ac:dyDescent="0.25">
      <c r="A182" s="62" t="s">
        <v>52</v>
      </c>
      <c r="B182" s="86">
        <v>0.99999960898561435</v>
      </c>
      <c r="C182" s="88">
        <f>AC166</f>
        <v>45.666666666666664</v>
      </c>
      <c r="D182" s="86">
        <f>MAX(B182*1.5*((C182-F166)*500/2),0)</f>
        <v>0</v>
      </c>
      <c r="E182" s="62" t="s">
        <v>56</v>
      </c>
      <c r="F182" s="86">
        <v>3.9705246658323402E-4</v>
      </c>
      <c r="G182" s="86">
        <f>AC167+1*L159</f>
        <v>127.33333333333334</v>
      </c>
      <c r="H182" s="86">
        <f>F182*1.5*((G182-F168)*500+(G182-F169)*500)</f>
        <v>21.639359428786261</v>
      </c>
      <c r="I182" s="62" t="s">
        <v>60</v>
      </c>
      <c r="J182" s="86">
        <v>1.4543890283640677E-6</v>
      </c>
      <c r="K182" s="86">
        <f>AC168+2*L159</f>
        <v>224.33333333333334</v>
      </c>
      <c r="L182" s="86">
        <f>J182*1.5*((K182-G182)*500/2+(K182-G182)*500)</f>
        <v>0.15871020272022887</v>
      </c>
      <c r="M182" s="62" t="s">
        <v>59</v>
      </c>
      <c r="N182" s="86">
        <v>4.0856159241431796E-9</v>
      </c>
      <c r="O182" s="86">
        <f>AC169+3*L159</f>
        <v>299.33333333333337</v>
      </c>
      <c r="P182" s="86">
        <f>N182*1.5*((O182-K182)*500/2)</f>
        <v>1.1490794786652697E-4</v>
      </c>
    </row>
    <row r="183" spans="1:20" x14ac:dyDescent="0.25">
      <c r="A183" s="86"/>
      <c r="B183" s="86"/>
      <c r="C183" s="89" t="s">
        <v>89</v>
      </c>
      <c r="D183" s="89">
        <f>SUM(D181:D182)</f>
        <v>0</v>
      </c>
      <c r="E183" s="62" t="s">
        <v>52</v>
      </c>
      <c r="F183" s="86">
        <v>0.99960294737831634</v>
      </c>
      <c r="G183" s="86">
        <f>AC167+0*L159</f>
        <v>115.33333333333334</v>
      </c>
      <c r="H183" s="86">
        <f>F183*1.5*((G183-F168)*500+(G183-F169)*500)</f>
        <v>36485.507579308556</v>
      </c>
      <c r="I183" s="62" t="s">
        <v>56</v>
      </c>
      <c r="J183" s="86">
        <v>1.8363349517453203E-6</v>
      </c>
      <c r="K183" s="86">
        <f>AC168+1*L159</f>
        <v>212.33333333333334</v>
      </c>
      <c r="L183" s="86">
        <f>J183*1.5*((K183-G183)*500/2+(K183-G183)*500)</f>
        <v>0.20039005160920809</v>
      </c>
      <c r="M183" s="62" t="s">
        <v>60</v>
      </c>
      <c r="N183" s="86">
        <v>1.285714473992538E-5</v>
      </c>
      <c r="O183" s="86">
        <f>AC169+2*L159</f>
        <v>287.33333333333337</v>
      </c>
      <c r="P183" s="86">
        <f>N183*1.5*((O183-K183)*500/2)</f>
        <v>0.36160719581040141</v>
      </c>
    </row>
    <row r="184" spans="1:20" x14ac:dyDescent="0.25">
      <c r="A184" s="86"/>
      <c r="B184" s="86"/>
      <c r="C184" s="86"/>
      <c r="D184" s="86"/>
      <c r="E184" s="86"/>
      <c r="F184" s="86"/>
      <c r="G184" s="89" t="s">
        <v>79</v>
      </c>
      <c r="H184" s="89">
        <f>SUM(H181:H183)</f>
        <v>36507.146949943352</v>
      </c>
      <c r="I184" s="62" t="s">
        <v>52</v>
      </c>
      <c r="J184" s="86">
        <v>0.99594182646685137</v>
      </c>
      <c r="K184" s="86">
        <f>AC168+0*L159</f>
        <v>200.33333333333334</v>
      </c>
      <c r="L184" s="86">
        <f>J184*1.5*((K184-G183)*500/2+(K184-G183)*500)</f>
        <v>95236.93715589265</v>
      </c>
      <c r="M184" s="62" t="s">
        <v>56</v>
      </c>
      <c r="N184" s="86">
        <v>6.8457413794312007E-3</v>
      </c>
      <c r="O184" s="86">
        <f>AC169+1*L159</f>
        <v>275.33333333333337</v>
      </c>
      <c r="P184" s="86">
        <f>N184*1.5*((O184-K184)*500/2)</f>
        <v>192.5364762965026</v>
      </c>
    </row>
    <row r="185" spans="1:20" x14ac:dyDescent="0.25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9" t="s">
        <v>79</v>
      </c>
      <c r="L185" s="89">
        <f>SUM(L181:L184)</f>
        <v>95237.296256208967</v>
      </c>
      <c r="M185" s="62" t="s">
        <v>52</v>
      </c>
      <c r="N185" s="86">
        <v>0.99314139738575158</v>
      </c>
      <c r="O185" s="86">
        <f>AC169+0*L159</f>
        <v>263.33333333333337</v>
      </c>
      <c r="P185" s="86">
        <f>N185*1.5*((O185-K184)*500/2)</f>
        <v>23462.965513238392</v>
      </c>
      <c r="Q185" s="179" t="s">
        <v>80</v>
      </c>
      <c r="R185" s="179"/>
      <c r="S185" s="180">
        <f>D183+H184+L185+P186</f>
        <v>155400.30691779102</v>
      </c>
      <c r="T185" s="180"/>
    </row>
    <row r="186" spans="1:20" x14ac:dyDescent="0.25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9" t="s">
        <v>79</v>
      </c>
      <c r="P186" s="89">
        <f>SUM(P181:P185)</f>
        <v>23655.8637116387</v>
      </c>
      <c r="Q186" s="179"/>
      <c r="R186" s="179"/>
      <c r="S186" s="180"/>
      <c r="T186" s="180"/>
    </row>
    <row r="187" spans="1:20" x14ac:dyDescent="0.25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</row>
    <row r="188" spans="1:20" x14ac:dyDescent="0.25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</row>
    <row r="189" spans="1:20" x14ac:dyDescent="0.25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</row>
    <row r="190" spans="1:20" ht="24.75" thickBot="1" x14ac:dyDescent="0.3">
      <c r="O190" s="131" t="s">
        <v>81</v>
      </c>
      <c r="P190" s="131"/>
      <c r="Q190" s="131">
        <f>(R176+P176+M177+S185)/AC169</f>
        <v>1020.6045753762917</v>
      </c>
      <c r="R190" s="131"/>
    </row>
    <row r="191" spans="1:20" x14ac:dyDescent="0.25">
      <c r="A191" s="181" t="s">
        <v>96</v>
      </c>
      <c r="B191" s="182"/>
    </row>
    <row r="192" spans="1:20" ht="15.75" thickBot="1" x14ac:dyDescent="0.3">
      <c r="A192" s="183"/>
      <c r="B192" s="184"/>
    </row>
    <row r="193" spans="1:34" ht="21" x14ac:dyDescent="0.35">
      <c r="A193" s="185" t="s">
        <v>14</v>
      </c>
      <c r="B193" s="18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O193" s="166" t="s">
        <v>72</v>
      </c>
      <c r="P193" s="166"/>
      <c r="Q193" s="166"/>
      <c r="R193" s="166"/>
      <c r="S193" s="166"/>
      <c r="T193" s="166"/>
      <c r="U193" s="166"/>
      <c r="V193" s="166"/>
    </row>
    <row r="194" spans="1:34" ht="36" x14ac:dyDescent="0.25">
      <c r="A194" s="4" t="s">
        <v>15</v>
      </c>
      <c r="B194" s="4" t="s">
        <v>16</v>
      </c>
      <c r="C194" s="4" t="s">
        <v>31</v>
      </c>
      <c r="D194" s="6" t="s">
        <v>17</v>
      </c>
      <c r="E194" s="6" t="s">
        <v>18</v>
      </c>
      <c r="F194" s="6" t="s">
        <v>19</v>
      </c>
      <c r="G194" s="6" t="s">
        <v>20</v>
      </c>
      <c r="H194" s="6" t="s">
        <v>21</v>
      </c>
      <c r="I194" s="6" t="s">
        <v>22</v>
      </c>
      <c r="J194" s="6" t="s">
        <v>23</v>
      </c>
      <c r="K194" s="6" t="s">
        <v>24</v>
      </c>
      <c r="L194" s="6" t="s">
        <v>25</v>
      </c>
      <c r="M194" s="6" t="s">
        <v>26</v>
      </c>
      <c r="N194" s="8"/>
      <c r="O194" s="167" t="s">
        <v>32</v>
      </c>
      <c r="P194" s="167" t="s">
        <v>35</v>
      </c>
      <c r="Q194" s="167" t="s">
        <v>66</v>
      </c>
      <c r="R194" s="99" t="s">
        <v>67</v>
      </c>
      <c r="S194" s="99" t="s">
        <v>68</v>
      </c>
      <c r="T194" s="167" t="s">
        <v>69</v>
      </c>
      <c r="U194" s="71" t="s">
        <v>33</v>
      </c>
      <c r="V194" s="99" t="s">
        <v>70</v>
      </c>
    </row>
    <row r="195" spans="1:34" x14ac:dyDescent="0.25">
      <c r="A195" s="3" t="s">
        <v>27</v>
      </c>
      <c r="B195" s="3">
        <v>0</v>
      </c>
      <c r="C195" s="3">
        <v>0.3</v>
      </c>
      <c r="D195" s="3">
        <v>243</v>
      </c>
      <c r="E195" s="3">
        <v>1.73</v>
      </c>
      <c r="F195" s="3">
        <v>5</v>
      </c>
      <c r="G195" s="169">
        <v>12</v>
      </c>
      <c r="H195" s="3">
        <v>1820</v>
      </c>
      <c r="I195" s="169">
        <v>19645</v>
      </c>
      <c r="J195" s="3">
        <v>20</v>
      </c>
      <c r="K195" s="3">
        <v>40</v>
      </c>
      <c r="L195" s="3">
        <v>500</v>
      </c>
      <c r="M195" s="3">
        <v>1000</v>
      </c>
      <c r="O195" s="168"/>
      <c r="P195" s="168"/>
      <c r="Q195" s="168"/>
      <c r="R195" s="72" t="s">
        <v>71</v>
      </c>
      <c r="S195" s="72" t="s">
        <v>71</v>
      </c>
      <c r="T195" s="168"/>
      <c r="U195" s="73">
        <v>500</v>
      </c>
      <c r="V195" s="3">
        <v>1.5</v>
      </c>
    </row>
    <row r="196" spans="1:34" x14ac:dyDescent="0.25">
      <c r="A196" s="3" t="s">
        <v>28</v>
      </c>
      <c r="B196" s="3">
        <v>0</v>
      </c>
      <c r="C196" s="3">
        <v>0.3</v>
      </c>
      <c r="D196" s="3">
        <v>254</v>
      </c>
      <c r="E196" s="3">
        <v>1.88</v>
      </c>
      <c r="F196" s="3">
        <v>3</v>
      </c>
      <c r="G196" s="170"/>
      <c r="H196" s="3">
        <v>2720</v>
      </c>
      <c r="I196" s="170"/>
      <c r="J196" s="5"/>
      <c r="K196" s="5"/>
      <c r="L196" s="5"/>
      <c r="M196" s="5"/>
      <c r="O196" s="74">
        <v>1</v>
      </c>
      <c r="P196" s="74">
        <v>106</v>
      </c>
      <c r="Q196" s="74">
        <v>110</v>
      </c>
      <c r="R196" s="74">
        <v>6</v>
      </c>
      <c r="S196" s="74">
        <v>5</v>
      </c>
      <c r="T196" s="74">
        <f>R196*$U$5/60+S196</f>
        <v>55</v>
      </c>
      <c r="U196" s="75"/>
    </row>
    <row r="197" spans="1:34" x14ac:dyDescent="0.25">
      <c r="A197" s="3" t="s">
        <v>29</v>
      </c>
      <c r="B197" s="3">
        <v>0</v>
      </c>
      <c r="C197" s="3">
        <v>0.3</v>
      </c>
      <c r="D197" s="3">
        <v>143</v>
      </c>
      <c r="E197" s="3">
        <v>2.4300000000000002</v>
      </c>
      <c r="F197" s="3">
        <v>8</v>
      </c>
      <c r="G197" s="170"/>
      <c r="H197" s="3">
        <v>3700</v>
      </c>
      <c r="I197" s="170"/>
      <c r="J197" s="5"/>
      <c r="K197" s="140" t="s">
        <v>73</v>
      </c>
      <c r="L197" s="141">
        <v>12</v>
      </c>
      <c r="M197" s="140" t="s">
        <v>74</v>
      </c>
      <c r="N197" s="141">
        <v>19645</v>
      </c>
      <c r="O197" s="74">
        <v>2</v>
      </c>
      <c r="P197" s="74">
        <v>76</v>
      </c>
      <c r="Q197" s="74">
        <v>40</v>
      </c>
      <c r="R197" s="74">
        <v>9</v>
      </c>
      <c r="S197" s="74">
        <v>2</v>
      </c>
      <c r="T197" s="74">
        <f t="shared" ref="T197:T199" si="20">R197*$U$5/60+S197</f>
        <v>77</v>
      </c>
      <c r="U197" s="75"/>
    </row>
    <row r="198" spans="1:34" x14ac:dyDescent="0.25">
      <c r="A198" s="3" t="s">
        <v>30</v>
      </c>
      <c r="B198" s="3">
        <v>0</v>
      </c>
      <c r="C198" s="3">
        <v>0.3</v>
      </c>
      <c r="D198" s="3">
        <v>449</v>
      </c>
      <c r="E198" s="3">
        <v>2.5299999999999998</v>
      </c>
      <c r="F198" s="3">
        <v>4</v>
      </c>
      <c r="G198" s="171"/>
      <c r="H198" s="3">
        <v>4320</v>
      </c>
      <c r="I198" s="171"/>
      <c r="J198" s="5"/>
      <c r="K198" s="140"/>
      <c r="L198" s="141"/>
      <c r="M198" s="140"/>
      <c r="N198" s="141"/>
      <c r="O198" s="74">
        <v>3</v>
      </c>
      <c r="P198" s="74">
        <v>95</v>
      </c>
      <c r="Q198" s="74">
        <v>67</v>
      </c>
      <c r="R198" s="74">
        <v>5</v>
      </c>
      <c r="S198" s="74">
        <v>4</v>
      </c>
      <c r="T198" s="74">
        <f t="shared" si="20"/>
        <v>45.666666666666664</v>
      </c>
      <c r="U198" s="75"/>
    </row>
    <row r="199" spans="1:34" ht="15.75" thickBo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O199" s="74">
        <v>4</v>
      </c>
      <c r="P199" s="74">
        <v>140</v>
      </c>
      <c r="Q199" s="94">
        <v>85</v>
      </c>
      <c r="R199" s="94">
        <v>8</v>
      </c>
      <c r="S199" s="94">
        <v>3</v>
      </c>
      <c r="T199" s="74">
        <f t="shared" si="20"/>
        <v>69.666666666666671</v>
      </c>
    </row>
    <row r="200" spans="1:34" ht="15" customHeight="1" x14ac:dyDescent="0.25">
      <c r="A200" s="172" t="s">
        <v>104</v>
      </c>
      <c r="B200" s="144" t="s">
        <v>105</v>
      </c>
      <c r="C200" s="144"/>
      <c r="D200" s="144"/>
      <c r="E200" s="144"/>
      <c r="F200" s="20" t="s">
        <v>27</v>
      </c>
      <c r="G200" s="20" t="s">
        <v>28</v>
      </c>
      <c r="H200" s="20" t="s">
        <v>29</v>
      </c>
      <c r="I200" s="20" t="s">
        <v>30</v>
      </c>
    </row>
    <row r="201" spans="1:34" ht="15.75" customHeight="1" thickBot="1" x14ac:dyDescent="0.3">
      <c r="A201" s="173"/>
      <c r="B201" s="145"/>
      <c r="C201" s="145"/>
      <c r="D201" s="145"/>
      <c r="E201" s="145"/>
      <c r="F201" s="20">
        <v>84</v>
      </c>
      <c r="G201" s="26">
        <v>84</v>
      </c>
      <c r="H201" s="26">
        <v>84</v>
      </c>
      <c r="I201" s="26">
        <v>252</v>
      </c>
    </row>
    <row r="202" spans="1:34" ht="15.75" customHeight="1" thickBot="1" x14ac:dyDescent="0.3">
      <c r="A202" s="173"/>
      <c r="B202" s="145"/>
      <c r="C202" s="145"/>
      <c r="D202" s="145"/>
      <c r="E202" s="145"/>
      <c r="F202" s="7"/>
      <c r="G202" s="146" t="s">
        <v>27</v>
      </c>
      <c r="H202" s="147"/>
      <c r="I202" s="147"/>
      <c r="J202" s="147"/>
      <c r="K202" s="148"/>
      <c r="L202" s="149" t="s">
        <v>28</v>
      </c>
      <c r="M202" s="150"/>
      <c r="N202" s="150"/>
      <c r="O202" s="150"/>
      <c r="P202" s="151"/>
      <c r="Q202" s="152" t="s">
        <v>29</v>
      </c>
      <c r="R202" s="153"/>
      <c r="S202" s="153"/>
      <c r="T202" s="153"/>
      <c r="U202" s="154"/>
      <c r="V202" s="155" t="s">
        <v>30</v>
      </c>
      <c r="W202" s="156"/>
      <c r="X202" s="156"/>
      <c r="Y202" s="156"/>
      <c r="Z202" s="157"/>
      <c r="AA202" s="158" t="s">
        <v>42</v>
      </c>
      <c r="AB202" s="159"/>
      <c r="AC202" s="160" t="s">
        <v>44</v>
      </c>
      <c r="AD202" s="162" t="s">
        <v>47</v>
      </c>
      <c r="AE202" s="163"/>
      <c r="AF202" s="163"/>
      <c r="AG202" s="164"/>
      <c r="AH202" s="138" t="s">
        <v>62</v>
      </c>
    </row>
    <row r="203" spans="1:34" ht="36.75" x14ac:dyDescent="0.25">
      <c r="A203" s="21" t="s">
        <v>32</v>
      </c>
      <c r="B203" s="22" t="s">
        <v>37</v>
      </c>
      <c r="C203" s="23" t="s">
        <v>33</v>
      </c>
      <c r="D203" s="22" t="s">
        <v>38</v>
      </c>
      <c r="E203" s="22" t="s">
        <v>34</v>
      </c>
      <c r="F203" s="25" t="s">
        <v>35</v>
      </c>
      <c r="G203" s="27" t="s">
        <v>39</v>
      </c>
      <c r="H203" s="10" t="s">
        <v>40</v>
      </c>
      <c r="I203" s="10" t="s">
        <v>45</v>
      </c>
      <c r="J203" s="10" t="s">
        <v>46</v>
      </c>
      <c r="K203" s="28" t="s">
        <v>41</v>
      </c>
      <c r="L203" s="30" t="s">
        <v>39</v>
      </c>
      <c r="M203" s="13" t="s">
        <v>40</v>
      </c>
      <c r="N203" s="13" t="s">
        <v>45</v>
      </c>
      <c r="O203" s="13" t="s">
        <v>46</v>
      </c>
      <c r="P203" s="31" t="s">
        <v>41</v>
      </c>
      <c r="Q203" s="33" t="s">
        <v>39</v>
      </c>
      <c r="R203" s="12" t="s">
        <v>40</v>
      </c>
      <c r="S203" s="12" t="s">
        <v>45</v>
      </c>
      <c r="T203" s="12" t="s">
        <v>46</v>
      </c>
      <c r="U203" s="34" t="s">
        <v>41</v>
      </c>
      <c r="V203" s="36" t="s">
        <v>39</v>
      </c>
      <c r="W203" s="11" t="s">
        <v>40</v>
      </c>
      <c r="X203" s="11" t="s">
        <v>45</v>
      </c>
      <c r="Y203" s="11" t="s">
        <v>46</v>
      </c>
      <c r="Z203" s="37" t="s">
        <v>41</v>
      </c>
      <c r="AA203" s="39" t="s">
        <v>41</v>
      </c>
      <c r="AB203" s="40" t="s">
        <v>43</v>
      </c>
      <c r="AC203" s="161"/>
      <c r="AD203" s="43" t="s">
        <v>27</v>
      </c>
      <c r="AE203" s="1" t="s">
        <v>28</v>
      </c>
      <c r="AF203" s="1" t="s">
        <v>29</v>
      </c>
      <c r="AG203" s="1" t="s">
        <v>30</v>
      </c>
      <c r="AH203" s="139"/>
    </row>
    <row r="204" spans="1:34" x14ac:dyDescent="0.25">
      <c r="A204" s="24">
        <v>3</v>
      </c>
      <c r="B204" s="9">
        <v>5</v>
      </c>
      <c r="C204" s="9">
        <v>500</v>
      </c>
      <c r="D204" s="9">
        <v>4</v>
      </c>
      <c r="E204" s="48">
        <f>B204*C204/60+D204</f>
        <v>45.666666666666664</v>
      </c>
      <c r="F204" s="14">
        <v>95</v>
      </c>
      <c r="G204" s="49">
        <f>B$5*(1-AD204*C$5)</f>
        <v>0</v>
      </c>
      <c r="H204" s="50">
        <f>G204+E204</f>
        <v>45.666666666666664</v>
      </c>
      <c r="I204" s="15">
        <f>(H204/D$5)^E$5</f>
        <v>5.5463587496332782E-2</v>
      </c>
      <c r="J204" s="15">
        <f>(G204/D$5)^E$5</f>
        <v>0</v>
      </c>
      <c r="K204" s="29">
        <f>1-EXP(J204-I204)</f>
        <v>5.3953529036131931E-2</v>
      </c>
      <c r="L204" s="51">
        <f>B$6*(1-AE204*C$6)</f>
        <v>0</v>
      </c>
      <c r="M204" s="52">
        <f>L204+E204</f>
        <v>45.666666666666664</v>
      </c>
      <c r="N204" s="17">
        <f>(M204/D$6)^E$6</f>
        <v>3.9715434673642101E-2</v>
      </c>
      <c r="O204" s="17">
        <f>(L204/D$6)^E$6</f>
        <v>0</v>
      </c>
      <c r="P204" s="32">
        <f>1-EXP(O204-N204)</f>
        <v>3.8937114582545562E-2</v>
      </c>
      <c r="Q204" s="53">
        <f>B$7*(1-AF204*C$7)</f>
        <v>0</v>
      </c>
      <c r="R204" s="54">
        <f>Q204+E204</f>
        <v>45.666666666666664</v>
      </c>
      <c r="S204" s="16">
        <f>(R204/D$7)^E$7</f>
        <v>6.2425173515745024E-2</v>
      </c>
      <c r="T204" s="16">
        <f>(Q204/D$7)^E$7</f>
        <v>0</v>
      </c>
      <c r="U204" s="35">
        <f>1-EXP(T204-S204)</f>
        <v>6.0516641579816954E-2</v>
      </c>
      <c r="V204" s="55">
        <f>B$8*(1-AG204*C$8)</f>
        <v>0</v>
      </c>
      <c r="W204" s="56">
        <f>V204+E204</f>
        <v>45.666666666666664</v>
      </c>
      <c r="X204" s="18">
        <f>(W204/D$8)^E$8</f>
        <v>3.0803709406480337E-3</v>
      </c>
      <c r="Y204" s="18">
        <f>(V204/D$8)^E$8</f>
        <v>0</v>
      </c>
      <c r="Z204" s="38">
        <f>1-EXP(Y204-X204)</f>
        <v>3.0756314657778283E-3</v>
      </c>
      <c r="AA204" s="41">
        <f>K204*P204*U204*Z204</f>
        <v>3.9101438569080559E-7</v>
      </c>
      <c r="AB204" s="42">
        <f>1-AA204</f>
        <v>0.99999960898561435</v>
      </c>
      <c r="AC204" s="47">
        <f>(AD204*F$5+AE204*F$6+AF204*F$7+AG204*F$8)+E204</f>
        <v>45.666666666666664</v>
      </c>
      <c r="AD204" s="43">
        <v>0</v>
      </c>
      <c r="AE204" s="1">
        <v>0</v>
      </c>
      <c r="AF204" s="1">
        <v>0</v>
      </c>
      <c r="AG204" s="1">
        <v>0</v>
      </c>
      <c r="AH204" s="44">
        <v>67</v>
      </c>
    </row>
    <row r="205" spans="1:34" x14ac:dyDescent="0.25">
      <c r="A205" s="24">
        <v>4</v>
      </c>
      <c r="B205" s="9">
        <v>8</v>
      </c>
      <c r="C205" s="9">
        <v>500</v>
      </c>
      <c r="D205" s="9">
        <v>3</v>
      </c>
      <c r="E205" s="9">
        <f t="shared" ref="E205:E207" si="21">B205*C205/60+D205</f>
        <v>69.666666666666671</v>
      </c>
      <c r="F205" s="14">
        <v>140</v>
      </c>
      <c r="G205" s="49">
        <f>H204*(1-AD205*C$5)</f>
        <v>45.666666666666664</v>
      </c>
      <c r="H205" s="50">
        <f>G205+E205</f>
        <v>115.33333333333334</v>
      </c>
      <c r="I205" s="15">
        <f>(H205/D$5)^E$5</f>
        <v>0.27547552976184858</v>
      </c>
      <c r="J205" s="15">
        <f>(G205/D$5)^E$5</f>
        <v>5.5463587496332782E-2</v>
      </c>
      <c r="K205" s="29">
        <f>1-EXP(J205-I205)</f>
        <v>0.19749078587286173</v>
      </c>
      <c r="L205" s="51">
        <f>M204*(1-AE205*C$6)</f>
        <v>45.666666666666664</v>
      </c>
      <c r="M205" s="52">
        <f>L205+E205</f>
        <v>115.33333333333334</v>
      </c>
      <c r="N205" s="17">
        <f>(M205/D$6)^E$6</f>
        <v>0.22666669883015245</v>
      </c>
      <c r="O205" s="17">
        <f>(L205/D$6)^E$6</f>
        <v>3.9715434673642101E-2</v>
      </c>
      <c r="P205" s="32">
        <f>1-EXP(O205-N205)</f>
        <v>0.17051583898942002</v>
      </c>
      <c r="Q205" s="53">
        <f>R204*(1-AF205*C$7)</f>
        <v>45.666666666666664</v>
      </c>
      <c r="R205" s="54">
        <f>Q205+E205</f>
        <v>115.33333333333334</v>
      </c>
      <c r="S205" s="16">
        <f>(R205/D$7)^E$7</f>
        <v>0.59303960801780564</v>
      </c>
      <c r="T205" s="16">
        <f>(Q205/D$7)^E$7</f>
        <v>6.2425173515745024E-2</v>
      </c>
      <c r="U205" s="35">
        <f>1-EXP(T205-S205)</f>
        <v>0.41175657843790647</v>
      </c>
      <c r="V205" s="55">
        <f>W204*(1-AG205*C$8)</f>
        <v>45.666666666666664</v>
      </c>
      <c r="W205" s="56">
        <f>V205+E205</f>
        <v>115.33333333333334</v>
      </c>
      <c r="X205" s="18">
        <f>(W205/D$8)^E$8</f>
        <v>3.2104248826077181E-2</v>
      </c>
      <c r="Y205" s="18">
        <f>(V205/D$8)^E$8</f>
        <v>3.0803709406480337E-3</v>
      </c>
      <c r="Z205" s="38">
        <f>1-EXP(Y205-X205)</f>
        <v>2.8606730627511734E-2</v>
      </c>
      <c r="AA205" s="41">
        <f>K205*P205*U205*Z205</f>
        <v>3.9666176239845391E-4</v>
      </c>
      <c r="AB205" s="42">
        <f>1-AA205</f>
        <v>0.9996033382376015</v>
      </c>
      <c r="AC205" s="47">
        <f>AF205*F$7+E205+AC204</f>
        <v>115.33333333333334</v>
      </c>
      <c r="AD205" s="43">
        <v>0</v>
      </c>
      <c r="AE205" s="1">
        <v>0</v>
      </c>
      <c r="AF205" s="1">
        <v>0</v>
      </c>
      <c r="AG205" s="1">
        <v>0</v>
      </c>
      <c r="AH205" s="44">
        <v>85</v>
      </c>
    </row>
    <row r="206" spans="1:34" x14ac:dyDescent="0.25">
      <c r="A206" s="57">
        <v>1</v>
      </c>
      <c r="B206" s="58">
        <v>6</v>
      </c>
      <c r="C206" s="58">
        <v>500</v>
      </c>
      <c r="D206" s="58">
        <v>5</v>
      </c>
      <c r="E206" s="66">
        <f t="shared" si="21"/>
        <v>55</v>
      </c>
      <c r="F206" s="67">
        <v>106</v>
      </c>
      <c r="G206" s="68">
        <f>H205*(1-AD206*C$5)</f>
        <v>80.733333333333334</v>
      </c>
      <c r="H206" s="69">
        <f>G206+E206</f>
        <v>135.73333333333335</v>
      </c>
      <c r="I206" s="70">
        <f>(H206/D$5)^E$5</f>
        <v>0.36513109280337663</v>
      </c>
      <c r="J206" s="70">
        <f>(G206/D$5)^E$5</f>
        <v>0.14862868526677991</v>
      </c>
      <c r="K206" s="29">
        <f>1-EXP(J206-I206)</f>
        <v>0.19466940394254484</v>
      </c>
      <c r="L206" s="51">
        <f>M205*(1-AE206*C$6)</f>
        <v>80.733333333333334</v>
      </c>
      <c r="M206" s="52">
        <f>L206+E206</f>
        <v>135.73333333333335</v>
      </c>
      <c r="N206" s="17">
        <f>(M206/D$6)^E$6</f>
        <v>0.30786708540357188</v>
      </c>
      <c r="O206" s="17">
        <f>(L206/D$6)^E$6</f>
        <v>0.11592364675943075</v>
      </c>
      <c r="P206" s="32">
        <f>1-EXP(O206-N206)</f>
        <v>0.17464644971265575</v>
      </c>
      <c r="Q206" s="53">
        <f>R205*(1-AF206*C$7)</f>
        <v>80.733333333333334</v>
      </c>
      <c r="R206" s="54">
        <f>Q206+E206</f>
        <v>135.73333333333335</v>
      </c>
      <c r="S206" s="16">
        <f>(R206/D$7)^E$7</f>
        <v>0.88097109537085294</v>
      </c>
      <c r="T206" s="16">
        <f>(Q206/D$7)^E$7</f>
        <v>0.24927110408438607</v>
      </c>
      <c r="U206" s="35">
        <f>1-EXP(T206-S206)</f>
        <v>0.46831283126270695</v>
      </c>
      <c r="V206" s="55">
        <f>W205*(1-AG206*C$8)</f>
        <v>115.33333333333334</v>
      </c>
      <c r="W206" s="56">
        <f>V206+E206</f>
        <v>170.33333333333334</v>
      </c>
      <c r="X206" s="18">
        <f>(W206/D$8)^E$8</f>
        <v>8.6100338756432887E-2</v>
      </c>
      <c r="Y206" s="18">
        <f>(V206/D$8)^E$8</f>
        <v>3.2104248826077181E-2</v>
      </c>
      <c r="Z206" s="38">
        <f>1-EXP(Y206-X206)</f>
        <v>5.2564188965439573E-2</v>
      </c>
      <c r="AA206" s="41">
        <f>K206*P206*U206*Z206</f>
        <v>8.3691911221333486E-4</v>
      </c>
      <c r="AB206" s="42">
        <f>1-AA206</f>
        <v>0.99916308088778671</v>
      </c>
      <c r="AC206" s="47">
        <f>(AF206*F$7)+E206+AC205</f>
        <v>178.33333333333334</v>
      </c>
      <c r="AD206" s="77">
        <v>1</v>
      </c>
      <c r="AE206" s="78">
        <v>1</v>
      </c>
      <c r="AF206" s="78">
        <v>1</v>
      </c>
      <c r="AG206" s="78">
        <v>0</v>
      </c>
      <c r="AH206" s="79">
        <v>110</v>
      </c>
    </row>
    <row r="207" spans="1:34" ht="15.75" thickBot="1" x14ac:dyDescent="0.3">
      <c r="A207" s="76">
        <v>2</v>
      </c>
      <c r="B207" s="58">
        <v>9</v>
      </c>
      <c r="C207" s="58">
        <v>500</v>
      </c>
      <c r="D207" s="58">
        <v>2</v>
      </c>
      <c r="E207" s="66">
        <f t="shared" si="21"/>
        <v>77</v>
      </c>
      <c r="F207" s="67">
        <v>76</v>
      </c>
      <c r="G207" s="68">
        <f>H206*(1-AD207*C$5)</f>
        <v>95.013333333333335</v>
      </c>
      <c r="H207" s="69">
        <f>G207+E207</f>
        <v>172.01333333333332</v>
      </c>
      <c r="I207" s="70">
        <f>(H207/D$5)^E$5</f>
        <v>0.55007714400590135</v>
      </c>
      <c r="J207" s="70">
        <f>(G207/D$5)^E$5</f>
        <v>0.19700099794818257</v>
      </c>
      <c r="K207" s="29">
        <f>1-EXP(J207-I207)</f>
        <v>0.2974763030694797</v>
      </c>
      <c r="L207" s="51">
        <f>M206*(1-AE207*C$6)</f>
        <v>95.013333333333335</v>
      </c>
      <c r="M207" s="52">
        <f>L207+E207</f>
        <v>172.01333333333332</v>
      </c>
      <c r="N207" s="17">
        <f>(M207/D$6)^E$6</f>
        <v>0.4805840832144625</v>
      </c>
      <c r="O207" s="17">
        <f>(L207/D$6)^E$6</f>
        <v>0.15745178026315176</v>
      </c>
      <c r="P207" s="32">
        <f>1-EXP(O207-N207)</f>
        <v>0.27612192317372397</v>
      </c>
      <c r="Q207" s="53">
        <f>R206*(1-AF207*C$7)</f>
        <v>95.013333333333335</v>
      </c>
      <c r="R207" s="54">
        <f>Q207+E207</f>
        <v>172.01333333333332</v>
      </c>
      <c r="S207" s="16">
        <f>(R207/D$7)^E$7</f>
        <v>1.5665683956775553</v>
      </c>
      <c r="T207" s="16">
        <f>(Q207/D$7)^E$7</f>
        <v>0.37029674686236147</v>
      </c>
      <c r="U207" s="35">
        <f>1-EXP(T207-S207)</f>
        <v>0.69768073429638378</v>
      </c>
      <c r="V207" s="55">
        <f>W206*(1-AG207*C$8)</f>
        <v>170.33333333333334</v>
      </c>
      <c r="W207" s="56">
        <f>V207+E207</f>
        <v>247.33333333333334</v>
      </c>
      <c r="X207" s="18">
        <f>(W207/D$8)^E$8</f>
        <v>0.22121871391987213</v>
      </c>
      <c r="Y207" s="18">
        <f>(V207/D$8)^E$8</f>
        <v>8.6100338756432887E-2</v>
      </c>
      <c r="Z207" s="38">
        <f>1-EXP(Y207-X207)</f>
        <v>0.1263875084545022</v>
      </c>
      <c r="AA207" s="41">
        <f>K207*P207*U207*Z207</f>
        <v>7.2429276690206745E-3</v>
      </c>
      <c r="AB207" s="42">
        <f>1-AA207</f>
        <v>0.99275707233097932</v>
      </c>
      <c r="AC207" s="47">
        <f>(AF207*F$7)+E207+AC206</f>
        <v>263.33333333333337</v>
      </c>
      <c r="AD207" s="80">
        <v>1</v>
      </c>
      <c r="AE207" s="45">
        <v>1</v>
      </c>
      <c r="AF207" s="81">
        <v>1</v>
      </c>
      <c r="AG207" s="45">
        <v>0</v>
      </c>
      <c r="AH207" s="82">
        <v>40</v>
      </c>
    </row>
    <row r="208" spans="1:34" ht="18.75" x14ac:dyDescent="0.3">
      <c r="A208" s="132" t="s">
        <v>53</v>
      </c>
      <c r="B208" s="132"/>
      <c r="C208" s="132"/>
      <c r="D208" s="132"/>
      <c r="E208" s="132"/>
      <c r="F208" s="132"/>
      <c r="G208" s="132"/>
      <c r="H208" s="132"/>
      <c r="I208" s="132"/>
      <c r="J208" s="132"/>
      <c r="AG208" s="46"/>
    </row>
    <row r="209" spans="1:20" ht="15.75" x14ac:dyDescent="0.25">
      <c r="A209" s="19" t="s">
        <v>54</v>
      </c>
      <c r="B209" s="60" t="s">
        <v>49</v>
      </c>
      <c r="C209" s="61" t="s">
        <v>50</v>
      </c>
      <c r="D209" s="19" t="s">
        <v>82</v>
      </c>
      <c r="E209" s="60" t="s">
        <v>57</v>
      </c>
      <c r="F209" s="61" t="s">
        <v>50</v>
      </c>
      <c r="G209" s="19" t="s">
        <v>58</v>
      </c>
      <c r="H209" s="60" t="s">
        <v>61</v>
      </c>
      <c r="I209" s="61" t="s">
        <v>50</v>
      </c>
      <c r="J209" s="19" t="s">
        <v>48</v>
      </c>
      <c r="K209" s="83" t="s">
        <v>84</v>
      </c>
      <c r="L209" s="61" t="s">
        <v>50</v>
      </c>
      <c r="M209" s="61" t="s">
        <v>85</v>
      </c>
      <c r="O209" s="174" t="s">
        <v>64</v>
      </c>
      <c r="P209" s="174"/>
      <c r="Q209" s="175" t="s">
        <v>109</v>
      </c>
      <c r="R209" s="175"/>
    </row>
    <row r="210" spans="1:20" ht="24.75" x14ac:dyDescent="0.25">
      <c r="A210" s="61" t="s">
        <v>51</v>
      </c>
      <c r="B210" s="1">
        <f>AA204</f>
        <v>3.9101438569080559E-7</v>
      </c>
      <c r="C210" s="59">
        <f>MAX(AC204+1*L197-F204,0)</f>
        <v>0</v>
      </c>
      <c r="D210" s="62" t="s">
        <v>55</v>
      </c>
      <c r="E210" s="1">
        <f>AA204*AA205</f>
        <v>1.5510045535126374E-10</v>
      </c>
      <c r="F210" s="1">
        <f>MAX(AC205+2*L197-F205,0)</f>
        <v>0</v>
      </c>
      <c r="G210" s="62" t="s">
        <v>59</v>
      </c>
      <c r="H210" s="1">
        <f>AA204*AA205*AA206</f>
        <v>1.2980653539646362E-13</v>
      </c>
      <c r="I210" s="1">
        <f>AC206+3*L197-F206</f>
        <v>108.33333333333334</v>
      </c>
      <c r="J210" s="62" t="s">
        <v>83</v>
      </c>
      <c r="K210" s="1">
        <f>AA204*AA205*AA206*AA207</f>
        <v>9.4017934684275792E-16</v>
      </c>
      <c r="L210" s="1">
        <f>AC207+4*L197-F207</f>
        <v>235.33333333333337</v>
      </c>
      <c r="M210" s="1">
        <f>B210*C210*AH204+E210*F210*AH205+H210*I210*AH206+K210*L210*AH207</f>
        <v>1.5557114350594715E-9</v>
      </c>
      <c r="O210" s="1" t="s">
        <v>27</v>
      </c>
      <c r="P210" s="1">
        <f>2*H195</f>
        <v>3640</v>
      </c>
      <c r="Q210" s="1">
        <f>(K204*(1-P204)*(1-U204)*(1-Z204))+(P204*(1-K204)*(1-U204)*(1-Z204))+(U204*(1-K204)*(1-P204)*(1-Z204))+(Z204*(1-K204)*(1-P204)*(1-U204))</f>
        <v>0.1405459062810282</v>
      </c>
      <c r="R210" s="1">
        <f>Q210*(L$7*(J$5*K$5+L$5)+I$5)</f>
        <v>4953.5404668748388</v>
      </c>
    </row>
    <row r="211" spans="1:20" ht="24.75" x14ac:dyDescent="0.25">
      <c r="A211" s="62" t="s">
        <v>52</v>
      </c>
      <c r="B211" s="1">
        <f>AB204</f>
        <v>0.99999960898561435</v>
      </c>
      <c r="C211" s="59">
        <f>MAX(AC204-F204,0)</f>
        <v>0</v>
      </c>
      <c r="D211" s="62" t="s">
        <v>56</v>
      </c>
      <c r="E211" s="1">
        <f>AA204*AB205+AA205*AB204</f>
        <v>3.9705246658323402E-4</v>
      </c>
      <c r="F211" s="1">
        <f>MAX(AC205+1*L197-F205,0)</f>
        <v>0</v>
      </c>
      <c r="G211" s="62" t="s">
        <v>60</v>
      </c>
      <c r="H211" s="1">
        <f>AA204*AA205*AB206+AA205*AA206*AB204+AA204*AA206*AB205</f>
        <v>3.3245576848377085E-7</v>
      </c>
      <c r="I211" s="1">
        <f>AC206+2*L197-F206</f>
        <v>96.333333333333343</v>
      </c>
      <c r="J211" s="62" t="s">
        <v>59</v>
      </c>
      <c r="K211">
        <f>AB204*AA205*AA206*AA207+AB205*AA204*AA206*AA207*+AB206*AA204*AA205*AA207+AB207*AA204*AA205*AA206</f>
        <v>2.4045902202729754E-9</v>
      </c>
      <c r="L211" s="1">
        <f>AC207+3*L197-F207</f>
        <v>223.33333333333337</v>
      </c>
      <c r="M211" s="1">
        <f>B211*C211*AH204+E211*F211*AH205+H211*I211*AH206+K211*L211*AH207</f>
        <v>3.5444039660007978E-3</v>
      </c>
      <c r="O211" s="1" t="s">
        <v>28</v>
      </c>
      <c r="P211" s="1">
        <f>2*H196</f>
        <v>5440</v>
      </c>
      <c r="Q211" s="1">
        <f t="shared" ref="Q211:Q213" si="22">(K205*(1-P205)*(1-U205)*(1-Z205))+(P205*(1-K205)*(1-U205)*(1-Z205))+(U205*(1-K205)*(1-P205)*(1-Z205))+(Z205*(1-K205)*(1-P205)*(1-U205))</f>
        <v>0.44925379312516944</v>
      </c>
      <c r="R211" s="1">
        <f t="shared" ref="R211:R213" si="23">Q211*(L$7*(J$5*K$5+L$5)+I$5)</f>
        <v>15833.949938696596</v>
      </c>
    </row>
    <row r="212" spans="1:20" ht="24.75" x14ac:dyDescent="0.25">
      <c r="A212" s="1"/>
      <c r="B212" s="1"/>
      <c r="C212" s="1"/>
      <c r="D212" s="62" t="s">
        <v>52</v>
      </c>
      <c r="E212" s="1">
        <f>AB204*AB205</f>
        <v>0.99960294737831634</v>
      </c>
      <c r="F212" s="59">
        <f>MAX(AC205-F205,0)</f>
        <v>0</v>
      </c>
      <c r="G212" s="62" t="s">
        <v>56</v>
      </c>
      <c r="H212" s="1">
        <f>AA204*AB205*AB206+AA205*AB204*AB206*+AA206*AB204*AB205</f>
        <v>7.2209631203577169E-7</v>
      </c>
      <c r="I212" s="1">
        <f>AC206+1*L197-F206</f>
        <v>84.333333333333343</v>
      </c>
      <c r="J212" s="62" t="s">
        <v>60</v>
      </c>
      <c r="K212" s="1">
        <f>AA204*AA205*AB206*AB207 + AA204*AA206*AB205*AB207 + AA204*AA207*AB205*AB206 + AA205*AA206*AB204*AB207 + AA205*AA207*AB204*AB206 + AA206*AA207*AB204*AB205</f>
        <v>9.2628010440239563E-6</v>
      </c>
      <c r="L212" s="1">
        <f>AC207+2*L197-F207</f>
        <v>211.33333333333337</v>
      </c>
      <c r="M212" s="1">
        <f>B212*C212*AH204+E212*F212*AH205+H212*I212*AH206+K212*L212*AH207</f>
        <v>8.5000191613467696E-2</v>
      </c>
      <c r="O212" s="1" t="s">
        <v>29</v>
      </c>
      <c r="P212" s="1">
        <f>2*(F197*(J195*K195+L195)+H197)</f>
        <v>28200</v>
      </c>
      <c r="Q212" s="1">
        <f t="shared" si="22"/>
        <v>0.46527991067817587</v>
      </c>
      <c r="R212" s="1">
        <f t="shared" si="23"/>
        <v>16398.79045185231</v>
      </c>
    </row>
    <row r="213" spans="1:20" ht="24.75" x14ac:dyDescent="0.25">
      <c r="A213" s="1"/>
      <c r="B213" s="1"/>
      <c r="C213" s="1"/>
      <c r="D213" s="1"/>
      <c r="E213" s="1"/>
      <c r="F213" s="1"/>
      <c r="G213" s="62" t="s">
        <v>52</v>
      </c>
      <c r="H213" s="1">
        <f>AB204*AB205*AB206</f>
        <v>0.99876636056703072</v>
      </c>
      <c r="I213" s="63">
        <f>AC206-F206</f>
        <v>72.333333333333343</v>
      </c>
      <c r="J213" s="62" t="s">
        <v>56</v>
      </c>
      <c r="K213" s="1">
        <f>AA204*AB205*AB206*AB207+AA205*AB204*AB206*AB207+AA206*AB204*AB205*AB207+AA207*AB204*AB205*AB206</f>
        <v>8.4583667316804941E-3</v>
      </c>
      <c r="L213" s="1">
        <f>AC207+1*L197-F207</f>
        <v>199.33333333333337</v>
      </c>
      <c r="M213" s="1">
        <f>B213*C213*AH204+E213*F213*AH205+H213*I213*AH206+K213*L213*AH207</f>
        <v>8014.2923863189408</v>
      </c>
      <c r="O213" s="1" t="s">
        <v>30</v>
      </c>
      <c r="P213" s="1">
        <v>0</v>
      </c>
      <c r="Q213" s="1">
        <f t="shared" si="22"/>
        <v>0.43749355895932501</v>
      </c>
      <c r="R213" s="1">
        <f t="shared" si="23"/>
        <v>15419.460485521409</v>
      </c>
    </row>
    <row r="214" spans="1:20" ht="30" x14ac:dyDescent="0.25">
      <c r="I214" s="84"/>
      <c r="J214" s="62" t="s">
        <v>52</v>
      </c>
      <c r="K214" s="85">
        <f>AB204*AB205*AB206*AB207</f>
        <v>0.99153236805919265</v>
      </c>
      <c r="L214" s="1">
        <f>AC207+0*L197-F207</f>
        <v>187.33333333333337</v>
      </c>
      <c r="M214" s="1">
        <f>B214*C214*AH204+E214*F214*AH205+H214*I214*AH206+K214*L214*AH207</f>
        <v>7429.8825446568853</v>
      </c>
      <c r="O214" s="64" t="s">
        <v>65</v>
      </c>
      <c r="P214" s="65">
        <f>SUM(P210:P213)</f>
        <v>37280</v>
      </c>
      <c r="Q214" s="96" t="s">
        <v>108</v>
      </c>
      <c r="R214" s="97">
        <f>SUM(R210:R213)</f>
        <v>52605.741342945155</v>
      </c>
    </row>
    <row r="215" spans="1:20" x14ac:dyDescent="0.25">
      <c r="L215" s="176" t="s">
        <v>63</v>
      </c>
      <c r="M215" s="177">
        <f>SUM(M210:M214)</f>
        <v>15444.263475572961</v>
      </c>
    </row>
    <row r="216" spans="1:20" x14ac:dyDescent="0.25">
      <c r="L216" s="176"/>
      <c r="M216" s="177"/>
    </row>
    <row r="217" spans="1:20" x14ac:dyDescent="0.25">
      <c r="A217" s="178" t="s">
        <v>90</v>
      </c>
      <c r="B217" s="178"/>
      <c r="C217" s="178"/>
      <c r="D217" s="178"/>
      <c r="E217" s="178"/>
      <c r="F217" s="178"/>
      <c r="G217" s="178"/>
      <c r="H217" s="178"/>
      <c r="I217" s="178"/>
      <c r="J217" s="178"/>
      <c r="K217" s="178"/>
      <c r="L217" s="178"/>
      <c r="M217" s="178"/>
      <c r="N217" s="178"/>
    </row>
    <row r="218" spans="1:20" ht="15.75" x14ac:dyDescent="0.25">
      <c r="A218" s="87" t="s">
        <v>76</v>
      </c>
      <c r="B218" s="62" t="s">
        <v>49</v>
      </c>
      <c r="C218" s="90" t="s">
        <v>102</v>
      </c>
      <c r="D218" s="62" t="s">
        <v>88</v>
      </c>
      <c r="E218" s="87" t="s">
        <v>86</v>
      </c>
      <c r="F218" s="62" t="s">
        <v>57</v>
      </c>
      <c r="G218" s="90" t="s">
        <v>103</v>
      </c>
      <c r="H218" s="62" t="s">
        <v>88</v>
      </c>
      <c r="I218" s="87" t="s">
        <v>77</v>
      </c>
      <c r="J218" s="62" t="s">
        <v>61</v>
      </c>
      <c r="K218" s="90" t="s">
        <v>78</v>
      </c>
      <c r="L218" s="62" t="s">
        <v>88</v>
      </c>
      <c r="M218" s="87" t="s">
        <v>75</v>
      </c>
      <c r="N218" s="62" t="s">
        <v>84</v>
      </c>
      <c r="O218" s="90" t="s">
        <v>87</v>
      </c>
      <c r="P218" s="62" t="s">
        <v>88</v>
      </c>
    </row>
    <row r="219" spans="1:20" ht="24.75" x14ac:dyDescent="0.25">
      <c r="A219" s="62" t="s">
        <v>51</v>
      </c>
      <c r="B219" s="86">
        <v>3.9101438569080559E-7</v>
      </c>
      <c r="C219" s="86">
        <f>AC204+1*L197</f>
        <v>57.666666666666664</v>
      </c>
      <c r="D219" s="86">
        <f>MAX(B219*1.5*((C219-F204)*500/2),0)</f>
        <v>0</v>
      </c>
      <c r="E219" s="62" t="s">
        <v>55</v>
      </c>
      <c r="F219" s="86">
        <v>1.5510045535126374E-10</v>
      </c>
      <c r="G219" s="86">
        <f>AC205+2*L197</f>
        <v>139.33333333333334</v>
      </c>
      <c r="H219" s="86">
        <f>F219*1.5*((G219-F205)*500/2+(G219-F206)*500 + (G219-F207)*500)</f>
        <v>1.1206007899128807E-5</v>
      </c>
      <c r="I219" s="62" t="s">
        <v>59</v>
      </c>
      <c r="J219" s="86">
        <v>1.2980653539646362E-13</v>
      </c>
      <c r="K219" s="86">
        <f>AC206+3*L197</f>
        <v>214.33333333333334</v>
      </c>
      <c r="L219" s="86">
        <f>J219*1.5*((K219-G219)*500/2+(K219-G219)*500)</f>
        <v>1.0952426424076618E-8</v>
      </c>
      <c r="M219" s="62" t="s">
        <v>83</v>
      </c>
      <c r="N219" s="86">
        <v>9.4017934684275792E-16</v>
      </c>
      <c r="O219" s="86">
        <f>AC207+4*L197</f>
        <v>311.33333333333337</v>
      </c>
      <c r="P219" s="86">
        <f>N219*1.5*((O219-K219)*500/2)</f>
        <v>3.4199023741405324E-11</v>
      </c>
    </row>
    <row r="220" spans="1:20" ht="24.75" x14ac:dyDescent="0.25">
      <c r="A220" s="62" t="s">
        <v>52</v>
      </c>
      <c r="B220" s="86">
        <v>0.99999960898561435</v>
      </c>
      <c r="C220" s="88">
        <f>AC204</f>
        <v>45.666666666666664</v>
      </c>
      <c r="D220" s="86">
        <f>MAX(B220*1.5*((C220-F204)*500/2),0)</f>
        <v>0</v>
      </c>
      <c r="E220" s="62" t="s">
        <v>56</v>
      </c>
      <c r="F220" s="86">
        <v>3.9705246658323402E-4</v>
      </c>
      <c r="G220" s="86">
        <f>AC205+1*L197</f>
        <v>127.33333333333334</v>
      </c>
      <c r="H220" s="86">
        <f>F220*1.5*((G220-F206)*500+(G220-F207)*500)</f>
        <v>21.639359428786261</v>
      </c>
      <c r="I220" s="62" t="s">
        <v>60</v>
      </c>
      <c r="J220" s="86">
        <v>3.3245576848377085E-7</v>
      </c>
      <c r="K220" s="86">
        <f>AC206+2*L197</f>
        <v>202.33333333333334</v>
      </c>
      <c r="L220" s="86">
        <f>J220*1.5*((K220-G220)*500/2+(K220-G220)*500)</f>
        <v>2.8050955465818164E-2</v>
      </c>
      <c r="M220" s="62" t="s">
        <v>59</v>
      </c>
      <c r="N220" s="86">
        <v>2.4045902202729754E-9</v>
      </c>
      <c r="O220" s="86">
        <f>AC207+3*L197</f>
        <v>299.33333333333337</v>
      </c>
      <c r="P220" s="86">
        <f>N220*1.5*((O220-K220)*500/2)</f>
        <v>8.7466969262429506E-5</v>
      </c>
    </row>
    <row r="221" spans="1:20" x14ac:dyDescent="0.25">
      <c r="A221" s="86"/>
      <c r="B221" s="86"/>
      <c r="C221" s="89" t="s">
        <v>89</v>
      </c>
      <c r="D221" s="89">
        <f>SUM(D219:D220)</f>
        <v>0</v>
      </c>
      <c r="E221" s="62" t="s">
        <v>52</v>
      </c>
      <c r="F221" s="86">
        <v>0.99960294737831634</v>
      </c>
      <c r="G221" s="86">
        <f>AC205+0*L197</f>
        <v>115.33333333333334</v>
      </c>
      <c r="H221" s="86">
        <f>F221*1.5*((G221-F206)*500+(G221-F207)*500)</f>
        <v>36485.507579308556</v>
      </c>
      <c r="I221" s="62" t="s">
        <v>56</v>
      </c>
      <c r="J221" s="86">
        <v>7.2209631203577169E-7</v>
      </c>
      <c r="K221" s="86">
        <f>AC206+1*L197</f>
        <v>190.33333333333334</v>
      </c>
      <c r="L221" s="86">
        <f>J221*1.5*((K221-G221)*500/2+(K221-G221)*500)</f>
        <v>6.0926876328018242E-2</v>
      </c>
      <c r="M221" s="62" t="s">
        <v>60</v>
      </c>
      <c r="N221" s="86">
        <v>9.2628010440239563E-6</v>
      </c>
      <c r="O221" s="86">
        <f>AC207+2*L197</f>
        <v>287.33333333333337</v>
      </c>
      <c r="P221" s="86">
        <f>N221*1.5*((O221-K221)*500/2)</f>
        <v>0.33693438797637149</v>
      </c>
    </row>
    <row r="222" spans="1:20" x14ac:dyDescent="0.25">
      <c r="A222" s="86"/>
      <c r="B222" s="86"/>
      <c r="C222" s="86"/>
      <c r="D222" s="86"/>
      <c r="E222" s="86"/>
      <c r="F222" s="86"/>
      <c r="G222" s="89" t="s">
        <v>79</v>
      </c>
      <c r="H222" s="89">
        <f>SUM(H219:H221)</f>
        <v>36507.146949943352</v>
      </c>
      <c r="I222" s="62" t="s">
        <v>52</v>
      </c>
      <c r="J222" s="86">
        <v>0.99876636056703072</v>
      </c>
      <c r="K222" s="86">
        <f>AC206+0*L197</f>
        <v>178.33333333333334</v>
      </c>
      <c r="L222" s="86">
        <f>J222*1.5*((K222-G221)*500/2+(K222-G221)*500)</f>
        <v>70787.565805188307</v>
      </c>
      <c r="M222" s="62" t="s">
        <v>56</v>
      </c>
      <c r="N222" s="86">
        <v>8.4583667316804941E-3</v>
      </c>
      <c r="O222" s="86">
        <f>AC207+1*L197</f>
        <v>275.33333333333337</v>
      </c>
      <c r="P222" s="86">
        <f>N222*1.5*((O222-K222)*500/2)</f>
        <v>307.67308986487802</v>
      </c>
    </row>
    <row r="223" spans="1:20" x14ac:dyDescent="0.25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9" t="s">
        <v>79</v>
      </c>
      <c r="L223" s="89">
        <f>SUM(L219:L222)</f>
        <v>70787.654783031059</v>
      </c>
      <c r="M223" s="62" t="s">
        <v>52</v>
      </c>
      <c r="N223" s="86">
        <v>0.99153236805919265</v>
      </c>
      <c r="O223" s="86">
        <f>AC207+0*L197</f>
        <v>263.33333333333337</v>
      </c>
      <c r="P223" s="86">
        <f>N223*1.5*((O223-K222)*500/2)</f>
        <v>31605.094231886775</v>
      </c>
      <c r="Q223" s="179" t="s">
        <v>80</v>
      </c>
      <c r="R223" s="179"/>
      <c r="S223" s="180">
        <f>D221+H222+L223+P224</f>
        <v>139207.90607658104</v>
      </c>
      <c r="T223" s="180"/>
    </row>
    <row r="224" spans="1:20" x14ac:dyDescent="0.25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9" t="s">
        <v>79</v>
      </c>
      <c r="P224" s="89">
        <f>SUM(P219:P223)</f>
        <v>31913.104343606632</v>
      </c>
      <c r="Q224" s="179"/>
      <c r="R224" s="179"/>
      <c r="S224" s="180"/>
      <c r="T224" s="180"/>
    </row>
    <row r="225" spans="1:34" x14ac:dyDescent="0.25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</row>
    <row r="226" spans="1:34" x14ac:dyDescent="0.25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</row>
    <row r="227" spans="1:34" x14ac:dyDescent="0.25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</row>
    <row r="228" spans="1:34" ht="24.75" thickBot="1" x14ac:dyDescent="0.3">
      <c r="O228" s="131" t="s">
        <v>81</v>
      </c>
      <c r="P228" s="131"/>
      <c r="Q228" s="131">
        <f>(R214+P214+M215+S223)/AC207</f>
        <v>928.62497808265493</v>
      </c>
      <c r="R228" s="131"/>
    </row>
    <row r="229" spans="1:34" x14ac:dyDescent="0.25">
      <c r="A229" s="181" t="s">
        <v>110</v>
      </c>
      <c r="B229" s="182"/>
    </row>
    <row r="230" spans="1:34" ht="15.75" thickBot="1" x14ac:dyDescent="0.3">
      <c r="A230" s="183"/>
      <c r="B230" s="184"/>
    </row>
    <row r="231" spans="1:34" ht="21" x14ac:dyDescent="0.35">
      <c r="A231" s="185" t="s">
        <v>14</v>
      </c>
      <c r="B231" s="185"/>
      <c r="C231" s="165"/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O231" s="166" t="s">
        <v>72</v>
      </c>
      <c r="P231" s="166"/>
      <c r="Q231" s="166"/>
      <c r="R231" s="166"/>
      <c r="S231" s="166"/>
      <c r="T231" s="166"/>
      <c r="U231" s="166"/>
      <c r="V231" s="166"/>
    </row>
    <row r="232" spans="1:34" ht="36" x14ac:dyDescent="0.25">
      <c r="A232" s="4" t="s">
        <v>15</v>
      </c>
      <c r="B232" s="4" t="s">
        <v>16</v>
      </c>
      <c r="C232" s="4" t="s">
        <v>31</v>
      </c>
      <c r="D232" s="6" t="s">
        <v>17</v>
      </c>
      <c r="E232" s="6" t="s">
        <v>18</v>
      </c>
      <c r="F232" s="6" t="s">
        <v>19</v>
      </c>
      <c r="G232" s="6" t="s">
        <v>20</v>
      </c>
      <c r="H232" s="6" t="s">
        <v>21</v>
      </c>
      <c r="I232" s="6" t="s">
        <v>22</v>
      </c>
      <c r="J232" s="6" t="s">
        <v>23</v>
      </c>
      <c r="K232" s="6" t="s">
        <v>24</v>
      </c>
      <c r="L232" s="6" t="s">
        <v>25</v>
      </c>
      <c r="M232" s="6" t="s">
        <v>26</v>
      </c>
      <c r="N232" s="8"/>
      <c r="O232" s="167" t="s">
        <v>32</v>
      </c>
      <c r="P232" s="167" t="s">
        <v>35</v>
      </c>
      <c r="Q232" s="167" t="s">
        <v>66</v>
      </c>
      <c r="R232" s="99" t="s">
        <v>67</v>
      </c>
      <c r="S232" s="99" t="s">
        <v>68</v>
      </c>
      <c r="T232" s="167" t="s">
        <v>69</v>
      </c>
      <c r="U232" s="71" t="s">
        <v>33</v>
      </c>
      <c r="V232" s="99" t="s">
        <v>70</v>
      </c>
    </row>
    <row r="233" spans="1:34" x14ac:dyDescent="0.25">
      <c r="A233" s="3" t="s">
        <v>27</v>
      </c>
      <c r="B233" s="3">
        <v>0</v>
      </c>
      <c r="C233" s="3">
        <v>0.3</v>
      </c>
      <c r="D233" s="3">
        <v>243</v>
      </c>
      <c r="E233" s="3">
        <v>1.73</v>
      </c>
      <c r="F233" s="3">
        <v>5</v>
      </c>
      <c r="G233" s="169">
        <v>12</v>
      </c>
      <c r="H233" s="3">
        <v>1820</v>
      </c>
      <c r="I233" s="169">
        <v>19645</v>
      </c>
      <c r="J233" s="3">
        <v>20</v>
      </c>
      <c r="K233" s="3">
        <v>40</v>
      </c>
      <c r="L233" s="3">
        <v>500</v>
      </c>
      <c r="M233" s="3">
        <v>1000</v>
      </c>
      <c r="O233" s="168"/>
      <c r="P233" s="168"/>
      <c r="Q233" s="168"/>
      <c r="R233" s="72" t="s">
        <v>71</v>
      </c>
      <c r="S233" s="72" t="s">
        <v>71</v>
      </c>
      <c r="T233" s="168"/>
      <c r="U233" s="73">
        <v>500</v>
      </c>
      <c r="V233" s="3">
        <v>1.5</v>
      </c>
    </row>
    <row r="234" spans="1:34" x14ac:dyDescent="0.25">
      <c r="A234" s="3" t="s">
        <v>28</v>
      </c>
      <c r="B234" s="3">
        <v>0</v>
      </c>
      <c r="C234" s="3">
        <v>0.3</v>
      </c>
      <c r="D234" s="3">
        <v>254</v>
      </c>
      <c r="E234" s="3">
        <v>1.88</v>
      </c>
      <c r="F234" s="3">
        <v>3</v>
      </c>
      <c r="G234" s="170"/>
      <c r="H234" s="3">
        <v>2720</v>
      </c>
      <c r="I234" s="170"/>
      <c r="J234" s="5"/>
      <c r="K234" s="5"/>
      <c r="L234" s="5"/>
      <c r="M234" s="5"/>
      <c r="O234" s="74">
        <v>1</v>
      </c>
      <c r="P234" s="74">
        <v>106</v>
      </c>
      <c r="Q234" s="74">
        <v>110</v>
      </c>
      <c r="R234" s="74">
        <v>6</v>
      </c>
      <c r="S234" s="74">
        <v>5</v>
      </c>
      <c r="T234" s="74">
        <f>R234*$U$5/60+S234</f>
        <v>55</v>
      </c>
      <c r="U234" s="75"/>
    </row>
    <row r="235" spans="1:34" x14ac:dyDescent="0.25">
      <c r="A235" s="3" t="s">
        <v>29</v>
      </c>
      <c r="B235" s="3">
        <v>0</v>
      </c>
      <c r="C235" s="3">
        <v>0.3</v>
      </c>
      <c r="D235" s="3">
        <v>143</v>
      </c>
      <c r="E235" s="3">
        <v>2.4300000000000002</v>
      </c>
      <c r="F235" s="3">
        <v>8</v>
      </c>
      <c r="G235" s="170"/>
      <c r="H235" s="3">
        <v>3700</v>
      </c>
      <c r="I235" s="170"/>
      <c r="J235" s="5"/>
      <c r="K235" s="140" t="s">
        <v>73</v>
      </c>
      <c r="L235" s="141">
        <v>12</v>
      </c>
      <c r="M235" s="140" t="s">
        <v>74</v>
      </c>
      <c r="N235" s="141">
        <v>19645</v>
      </c>
      <c r="O235" s="74">
        <v>2</v>
      </c>
      <c r="P235" s="74">
        <v>76</v>
      </c>
      <c r="Q235" s="74">
        <v>40</v>
      </c>
      <c r="R235" s="74">
        <v>9</v>
      </c>
      <c r="S235" s="74">
        <v>2</v>
      </c>
      <c r="T235" s="74">
        <f t="shared" ref="T235:T237" si="24">R235*$U$5/60+S235</f>
        <v>77</v>
      </c>
      <c r="U235" s="75"/>
    </row>
    <row r="236" spans="1:34" x14ac:dyDescent="0.25">
      <c r="A236" s="3" t="s">
        <v>30</v>
      </c>
      <c r="B236" s="3">
        <v>0</v>
      </c>
      <c r="C236" s="3">
        <v>0.3</v>
      </c>
      <c r="D236" s="3">
        <v>449</v>
      </c>
      <c r="E236" s="3">
        <v>2.5299999999999998</v>
      </c>
      <c r="F236" s="3">
        <v>4</v>
      </c>
      <c r="G236" s="171"/>
      <c r="H236" s="3">
        <v>4320</v>
      </c>
      <c r="I236" s="171"/>
      <c r="J236" s="5"/>
      <c r="K236" s="140"/>
      <c r="L236" s="141"/>
      <c r="M236" s="140"/>
      <c r="N236" s="141"/>
      <c r="O236" s="74">
        <v>3</v>
      </c>
      <c r="P236" s="74">
        <v>95</v>
      </c>
      <c r="Q236" s="74">
        <v>67</v>
      </c>
      <c r="R236" s="74">
        <v>5</v>
      </c>
      <c r="S236" s="74">
        <v>4</v>
      </c>
      <c r="T236" s="74">
        <f t="shared" si="24"/>
        <v>45.666666666666664</v>
      </c>
      <c r="U236" s="75"/>
    </row>
    <row r="237" spans="1:34" ht="15.75" thickBo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O237" s="74">
        <v>4</v>
      </c>
      <c r="P237" s="74">
        <v>140</v>
      </c>
      <c r="Q237" s="94">
        <v>85</v>
      </c>
      <c r="R237" s="94">
        <v>8</v>
      </c>
      <c r="S237" s="94">
        <v>3</v>
      </c>
      <c r="T237" s="74">
        <f t="shared" si="24"/>
        <v>69.666666666666671</v>
      </c>
    </row>
    <row r="238" spans="1:34" ht="15" customHeight="1" x14ac:dyDescent="0.25">
      <c r="A238" s="172" t="s">
        <v>104</v>
      </c>
      <c r="B238" s="144" t="s">
        <v>105</v>
      </c>
      <c r="C238" s="144"/>
      <c r="D238" s="144"/>
      <c r="E238" s="144"/>
      <c r="F238" s="20" t="s">
        <v>27</v>
      </c>
      <c r="G238" s="20" t="s">
        <v>28</v>
      </c>
      <c r="H238" s="20" t="s">
        <v>29</v>
      </c>
      <c r="I238" s="20" t="s">
        <v>30</v>
      </c>
    </row>
    <row r="239" spans="1:34" ht="15.75" customHeight="1" thickBot="1" x14ac:dyDescent="0.3">
      <c r="A239" s="173"/>
      <c r="B239" s="145"/>
      <c r="C239" s="145"/>
      <c r="D239" s="145"/>
      <c r="E239" s="145"/>
      <c r="F239" s="20">
        <v>84</v>
      </c>
      <c r="G239" s="26">
        <v>84</v>
      </c>
      <c r="H239" s="26">
        <v>84</v>
      </c>
      <c r="I239" s="26">
        <v>252</v>
      </c>
    </row>
    <row r="240" spans="1:34" ht="15.75" customHeight="1" thickBot="1" x14ac:dyDescent="0.3">
      <c r="A240" s="173"/>
      <c r="B240" s="145"/>
      <c r="C240" s="145"/>
      <c r="D240" s="145"/>
      <c r="E240" s="145"/>
      <c r="F240" s="7"/>
      <c r="G240" s="146" t="s">
        <v>27</v>
      </c>
      <c r="H240" s="147"/>
      <c r="I240" s="147"/>
      <c r="J240" s="147"/>
      <c r="K240" s="148"/>
      <c r="L240" s="149" t="s">
        <v>28</v>
      </c>
      <c r="M240" s="150"/>
      <c r="N240" s="150"/>
      <c r="O240" s="150"/>
      <c r="P240" s="151"/>
      <c r="Q240" s="152" t="s">
        <v>29</v>
      </c>
      <c r="R240" s="153"/>
      <c r="S240" s="153"/>
      <c r="T240" s="153"/>
      <c r="U240" s="154"/>
      <c r="V240" s="155" t="s">
        <v>30</v>
      </c>
      <c r="W240" s="156"/>
      <c r="X240" s="156"/>
      <c r="Y240" s="156"/>
      <c r="Z240" s="157"/>
      <c r="AA240" s="158" t="s">
        <v>42</v>
      </c>
      <c r="AB240" s="159"/>
      <c r="AC240" s="160" t="s">
        <v>44</v>
      </c>
      <c r="AD240" s="162" t="s">
        <v>47</v>
      </c>
      <c r="AE240" s="163"/>
      <c r="AF240" s="163"/>
      <c r="AG240" s="164"/>
      <c r="AH240" s="138" t="s">
        <v>62</v>
      </c>
    </row>
    <row r="241" spans="1:34" ht="36.75" x14ac:dyDescent="0.25">
      <c r="A241" s="21" t="s">
        <v>32</v>
      </c>
      <c r="B241" s="22" t="s">
        <v>37</v>
      </c>
      <c r="C241" s="23" t="s">
        <v>33</v>
      </c>
      <c r="D241" s="22" t="s">
        <v>38</v>
      </c>
      <c r="E241" s="22" t="s">
        <v>34</v>
      </c>
      <c r="F241" s="25" t="s">
        <v>35</v>
      </c>
      <c r="G241" s="27" t="s">
        <v>39</v>
      </c>
      <c r="H241" s="10" t="s">
        <v>40</v>
      </c>
      <c r="I241" s="10" t="s">
        <v>45</v>
      </c>
      <c r="J241" s="10" t="s">
        <v>46</v>
      </c>
      <c r="K241" s="28" t="s">
        <v>41</v>
      </c>
      <c r="L241" s="30" t="s">
        <v>39</v>
      </c>
      <c r="M241" s="13" t="s">
        <v>40</v>
      </c>
      <c r="N241" s="13" t="s">
        <v>45</v>
      </c>
      <c r="O241" s="13" t="s">
        <v>46</v>
      </c>
      <c r="P241" s="31" t="s">
        <v>41</v>
      </c>
      <c r="Q241" s="33" t="s">
        <v>39</v>
      </c>
      <c r="R241" s="12" t="s">
        <v>40</v>
      </c>
      <c r="S241" s="12" t="s">
        <v>45</v>
      </c>
      <c r="T241" s="12" t="s">
        <v>46</v>
      </c>
      <c r="U241" s="34" t="s">
        <v>41</v>
      </c>
      <c r="V241" s="36" t="s">
        <v>39</v>
      </c>
      <c r="W241" s="11" t="s">
        <v>40</v>
      </c>
      <c r="X241" s="11" t="s">
        <v>45</v>
      </c>
      <c r="Y241" s="11" t="s">
        <v>46</v>
      </c>
      <c r="Z241" s="37" t="s">
        <v>41</v>
      </c>
      <c r="AA241" s="39" t="s">
        <v>41</v>
      </c>
      <c r="AB241" s="40" t="s">
        <v>43</v>
      </c>
      <c r="AC241" s="161"/>
      <c r="AD241" s="43" t="s">
        <v>27</v>
      </c>
      <c r="AE241" s="1" t="s">
        <v>28</v>
      </c>
      <c r="AF241" s="1" t="s">
        <v>29</v>
      </c>
      <c r="AG241" s="1" t="s">
        <v>30</v>
      </c>
      <c r="AH241" s="139"/>
    </row>
    <row r="242" spans="1:34" x14ac:dyDescent="0.25">
      <c r="A242" s="24">
        <v>1</v>
      </c>
      <c r="B242" s="9">
        <v>6</v>
      </c>
      <c r="C242" s="9">
        <v>500</v>
      </c>
      <c r="D242" s="9">
        <v>5</v>
      </c>
      <c r="E242" s="48">
        <f>B242*C242/60+D242</f>
        <v>55</v>
      </c>
      <c r="F242" s="14">
        <v>106</v>
      </c>
      <c r="G242" s="49">
        <f>B$5*(1-AD242*C$5)</f>
        <v>0</v>
      </c>
      <c r="H242" s="50">
        <f>G242+E242</f>
        <v>55</v>
      </c>
      <c r="I242" s="15">
        <f>(H242/D$5)^E$5</f>
        <v>7.6511831764011648E-2</v>
      </c>
      <c r="J242" s="15">
        <f>(G242/D$5)^E$5</f>
        <v>0</v>
      </c>
      <c r="K242" s="29">
        <f>1-EXP(J242-I242)</f>
        <v>7.3658046035411151E-2</v>
      </c>
      <c r="L242" s="51">
        <f>B$6*(1-AE242*C$6)</f>
        <v>0</v>
      </c>
      <c r="M242" s="52">
        <f>L242+E242</f>
        <v>55</v>
      </c>
      <c r="N242" s="17">
        <f>(M242/D$6)^E$6</f>
        <v>5.633709759436846E-2</v>
      </c>
      <c r="O242" s="17">
        <f>(L242/D$6)^E$6</f>
        <v>0</v>
      </c>
      <c r="P242" s="32">
        <f>1-EXP(O242-N242)</f>
        <v>5.4779549360660096E-2</v>
      </c>
      <c r="Q242" s="53">
        <f>B$7*(1-AF242*C$7)</f>
        <v>0</v>
      </c>
      <c r="R242" s="54">
        <f>Q242+E242</f>
        <v>55</v>
      </c>
      <c r="S242" s="16">
        <f>(R242/D$7)^E$7</f>
        <v>9.8087748172662498E-2</v>
      </c>
      <c r="T242" s="16">
        <f>(Q242/D$7)^E$7</f>
        <v>0</v>
      </c>
      <c r="U242" s="35">
        <f>1-EXP(T242-S242)</f>
        <v>9.3430649540250821E-2</v>
      </c>
      <c r="V242" s="55">
        <f>B$8*(1-AG242*C$8)</f>
        <v>0</v>
      </c>
      <c r="W242" s="56">
        <f>V242+E242</f>
        <v>55</v>
      </c>
      <c r="X242" s="18">
        <f>(W242/D$8)^E$8</f>
        <v>4.9309927237744132E-3</v>
      </c>
      <c r="Y242" s="18">
        <f>(V242/D$8)^E$8</f>
        <v>0</v>
      </c>
      <c r="Z242" s="38">
        <f>1-EXP(Y242-X242)</f>
        <v>4.9188553371368737E-3</v>
      </c>
      <c r="AA242" s="41">
        <f>K242*P242*U242*Z242</f>
        <v>1.8543515323034395E-6</v>
      </c>
      <c r="AB242" s="42">
        <f>1-AA242</f>
        <v>0.99999814564846767</v>
      </c>
      <c r="AC242" s="47">
        <f>(AD242*F$5+AE242*F$6+AF242*F$7+AG242*F$8)+E242</f>
        <v>55</v>
      </c>
      <c r="AD242" s="43">
        <v>0</v>
      </c>
      <c r="AE242" s="1">
        <v>0</v>
      </c>
      <c r="AF242" s="1">
        <v>0</v>
      </c>
      <c r="AG242" s="1">
        <v>0</v>
      </c>
      <c r="AH242" s="44">
        <v>110</v>
      </c>
    </row>
    <row r="243" spans="1:34" x14ac:dyDescent="0.25">
      <c r="A243" s="24">
        <v>3</v>
      </c>
      <c r="B243" s="9">
        <v>5</v>
      </c>
      <c r="C243" s="9">
        <v>500</v>
      </c>
      <c r="D243" s="9">
        <v>4</v>
      </c>
      <c r="E243" s="9">
        <f t="shared" ref="E243:E245" si="25">B243*C243/60+D243</f>
        <v>45.666666666666664</v>
      </c>
      <c r="F243" s="14">
        <v>95</v>
      </c>
      <c r="G243" s="49">
        <f>H242*(1-AD243*C$5)</f>
        <v>55</v>
      </c>
      <c r="H243" s="50">
        <f>G243+E243</f>
        <v>100.66666666666666</v>
      </c>
      <c r="I243" s="15">
        <f>(H243/D$5)^E$5</f>
        <v>0.21771752434165836</v>
      </c>
      <c r="J243" s="15">
        <f>(G243/D$5)^E$5</f>
        <v>7.6511831764011648E-2</v>
      </c>
      <c r="K243" s="29">
        <f>1-EXP(J243-I243)</f>
        <v>0.13168931173612675</v>
      </c>
      <c r="L243" s="51">
        <f>M242*(1-AE243*C$6)</f>
        <v>55</v>
      </c>
      <c r="M243" s="52">
        <f>L243+E243</f>
        <v>100.66666666666666</v>
      </c>
      <c r="N243" s="17">
        <f>(M243/D$6)^E$6</f>
        <v>0.17552448466860393</v>
      </c>
      <c r="O243" s="17">
        <f>(L243/D$6)^E$6</f>
        <v>5.633709759436846E-2</v>
      </c>
      <c r="P243" s="32">
        <f>1-EXP(O243-N243)</f>
        <v>0.11235854735808759</v>
      </c>
      <c r="Q243" s="53">
        <f>R242*(1-AF243*C$7)</f>
        <v>55</v>
      </c>
      <c r="R243" s="54">
        <f>Q243+E243</f>
        <v>100.66666666666666</v>
      </c>
      <c r="S243" s="16">
        <f>(R243/D$7)^E$7</f>
        <v>0.42613347475170693</v>
      </c>
      <c r="T243" s="16">
        <f>(Q243/D$7)^E$7</f>
        <v>9.8087748172662498E-2</v>
      </c>
      <c r="U243" s="35">
        <f>1-EXP(T243-S243)</f>
        <v>0.27966991927816065</v>
      </c>
      <c r="V243" s="55">
        <f>W242*(1-AG243*C$8)</f>
        <v>55</v>
      </c>
      <c r="W243" s="56">
        <f>V243+E243</f>
        <v>100.66666666666666</v>
      </c>
      <c r="X243" s="18">
        <f>(W243/D$8)^E$8</f>
        <v>2.275713304339216E-2</v>
      </c>
      <c r="Y243" s="18">
        <f>(V243/D$8)^E$8</f>
        <v>4.9309927237744132E-3</v>
      </c>
      <c r="Z243" s="38">
        <f>1-EXP(Y243-X243)</f>
        <v>1.766819459368596E-2</v>
      </c>
      <c r="AA243" s="41">
        <f>K243*P243*U243*Z243</f>
        <v>7.3112994965834617E-5</v>
      </c>
      <c r="AB243" s="42">
        <f>1-AA243</f>
        <v>0.99992688700503418</v>
      </c>
      <c r="AC243" s="47">
        <f>AF243*F$7+E243+AC242</f>
        <v>100.66666666666666</v>
      </c>
      <c r="AD243" s="43">
        <v>0</v>
      </c>
      <c r="AE243" s="1">
        <v>0</v>
      </c>
      <c r="AF243" s="1">
        <v>0</v>
      </c>
      <c r="AG243" s="1">
        <v>0</v>
      </c>
      <c r="AH243" s="44">
        <v>67</v>
      </c>
    </row>
    <row r="244" spans="1:34" x14ac:dyDescent="0.25">
      <c r="A244" s="57">
        <v>2</v>
      </c>
      <c r="B244" s="58">
        <v>9</v>
      </c>
      <c r="C244" s="58">
        <v>500</v>
      </c>
      <c r="D244" s="58">
        <v>2</v>
      </c>
      <c r="E244" s="66">
        <f t="shared" si="25"/>
        <v>77</v>
      </c>
      <c r="F244" s="67">
        <v>76</v>
      </c>
      <c r="G244" s="68">
        <f>H243*(1-AD244*C$5)</f>
        <v>70.466666666666654</v>
      </c>
      <c r="H244" s="69">
        <f>G244+E244</f>
        <v>147.46666666666664</v>
      </c>
      <c r="I244" s="70">
        <f>(H244/D$5)^E$5</f>
        <v>0.42144560641664969</v>
      </c>
      <c r="J244" s="70">
        <f>(G244/D$5)^E$5</f>
        <v>0.11746622079432449</v>
      </c>
      <c r="K244" s="29">
        <f>1-EXP(J244-I244)</f>
        <v>0.26212392285005737</v>
      </c>
      <c r="L244" s="51">
        <f>M243*(1-AE244*C$6)</f>
        <v>70.466666666666654</v>
      </c>
      <c r="M244" s="52">
        <f>L244+E244</f>
        <v>147.46666666666664</v>
      </c>
      <c r="N244" s="17">
        <f>(M244/D$6)^E$6</f>
        <v>0.35979661759585591</v>
      </c>
      <c r="O244" s="17">
        <f>(L244/D$6)^E$6</f>
        <v>8.9768097666615101E-2</v>
      </c>
      <c r="P244" s="32">
        <f>1-EXP(O244-N244)</f>
        <v>0.23664227688185091</v>
      </c>
      <c r="Q244" s="53">
        <f>R243*(1-AF244*C$7)</f>
        <v>70.466666666666654</v>
      </c>
      <c r="R244" s="54">
        <f>Q244+E244</f>
        <v>147.46666666666664</v>
      </c>
      <c r="S244" s="16">
        <f>(R244/D$7)^E$7</f>
        <v>1.0776048006073178</v>
      </c>
      <c r="T244" s="16">
        <f>(Q244/D$7)^E$7</f>
        <v>0.17911579648738157</v>
      </c>
      <c r="U244" s="35">
        <f>1-EXP(T244-S244)</f>
        <v>0.59281555082339077</v>
      </c>
      <c r="V244" s="55">
        <f>W243*(1-AG244*C$8)</f>
        <v>100.66666666666666</v>
      </c>
      <c r="W244" s="56">
        <f>V244+E244</f>
        <v>177.66666666666666</v>
      </c>
      <c r="X244" s="18">
        <f>(W244/D$8)^E$8</f>
        <v>9.5789922449281015E-2</v>
      </c>
      <c r="Y244" s="18">
        <f>(V244/D$8)^E$8</f>
        <v>2.275713304339216E-2</v>
      </c>
      <c r="Z244" s="38">
        <f>1-EXP(Y244-X244)</f>
        <v>7.0429650533415211E-2</v>
      </c>
      <c r="AA244" s="41">
        <f>K244*P244*U244*Z244</f>
        <v>2.5898470422277202E-3</v>
      </c>
      <c r="AB244" s="42">
        <f>1-AA244</f>
        <v>0.99741015295777224</v>
      </c>
      <c r="AC244" s="47">
        <f>(AF244*F$7)+E244+AC243</f>
        <v>185.66666666666666</v>
      </c>
      <c r="AD244" s="77">
        <v>1</v>
      </c>
      <c r="AE244" s="78">
        <v>1</v>
      </c>
      <c r="AF244" s="78">
        <v>1</v>
      </c>
      <c r="AG244" s="78">
        <v>0</v>
      </c>
      <c r="AH244" s="79">
        <v>40</v>
      </c>
    </row>
    <row r="245" spans="1:34" ht="15.75" thickBot="1" x14ac:dyDescent="0.3">
      <c r="A245" s="76">
        <v>4</v>
      </c>
      <c r="B245" s="58">
        <v>8</v>
      </c>
      <c r="C245" s="58">
        <v>500</v>
      </c>
      <c r="D245" s="58">
        <v>3</v>
      </c>
      <c r="E245" s="66">
        <f t="shared" si="25"/>
        <v>69.666666666666671</v>
      </c>
      <c r="F245" s="67">
        <v>140</v>
      </c>
      <c r="G245" s="68">
        <f>H244*(1-AD245*C$5)</f>
        <v>103.22666666666665</v>
      </c>
      <c r="H245" s="69">
        <f>G245+E245</f>
        <v>172.89333333333332</v>
      </c>
      <c r="I245" s="70">
        <f>(H245/D$5)^E$5</f>
        <v>0.55495467561038181</v>
      </c>
      <c r="J245" s="70">
        <f>(G245/D$5)^E$5</f>
        <v>0.22738464809313327</v>
      </c>
      <c r="K245" s="29">
        <f>1-EXP(J245-I245)</f>
        <v>0.27932717742005098</v>
      </c>
      <c r="L245" s="51">
        <f>M244*(1-AE245*C$6)</f>
        <v>103.22666666666665</v>
      </c>
      <c r="M245" s="52">
        <f>L245+E245</f>
        <v>172.89333333333332</v>
      </c>
      <c r="N245" s="17">
        <f>(M245/D$6)^E$6</f>
        <v>0.48521667557272297</v>
      </c>
      <c r="O245" s="17">
        <f>(L245/D$6)^E$6</f>
        <v>0.18400998566919444</v>
      </c>
      <c r="P245" s="32">
        <f>1-EXP(O245-N245)</f>
        <v>0.26007517804950775</v>
      </c>
      <c r="Q245" s="53">
        <f>R244*(1-AF245*C$7)</f>
        <v>103.22666666666665</v>
      </c>
      <c r="R245" s="54">
        <f>Q245+E245</f>
        <v>172.89333333333332</v>
      </c>
      <c r="S245" s="16">
        <f>(R245/D$7)^E$7</f>
        <v>1.5861146273855486</v>
      </c>
      <c r="T245" s="16">
        <f>(Q245/D$7)^E$7</f>
        <v>0.45294738291064662</v>
      </c>
      <c r="U245" s="35">
        <f>1-EXP(T245-S245)</f>
        <v>0.67798825033960464</v>
      </c>
      <c r="V245" s="55">
        <f>W244*(1-AG245*C$8)</f>
        <v>177.66666666666666</v>
      </c>
      <c r="W245" s="56">
        <f>V245+E245</f>
        <v>247.33333333333331</v>
      </c>
      <c r="X245" s="18">
        <f>(W245/D$8)^E$8</f>
        <v>0.221218713919872</v>
      </c>
      <c r="Y245" s="18">
        <f>(V245/D$8)^E$8</f>
        <v>9.5789922449281015E-2</v>
      </c>
      <c r="Z245" s="38">
        <f>1-EXP(Y245-X245)</f>
        <v>0.11788142344277242</v>
      </c>
      <c r="AA245" s="41">
        <f>K245*P245*U245*Z245</f>
        <v>5.8060348231582602E-3</v>
      </c>
      <c r="AB245" s="42">
        <f>1-AA245</f>
        <v>0.99419396517684178</v>
      </c>
      <c r="AC245" s="47">
        <f>(AF245*F$7)+E245+AC244</f>
        <v>263.33333333333331</v>
      </c>
      <c r="AD245" s="80">
        <v>1</v>
      </c>
      <c r="AE245" s="45">
        <v>1</v>
      </c>
      <c r="AF245" s="81">
        <v>1</v>
      </c>
      <c r="AG245" s="45">
        <v>0</v>
      </c>
      <c r="AH245" s="82">
        <v>85</v>
      </c>
    </row>
    <row r="246" spans="1:34" ht="18.75" x14ac:dyDescent="0.3">
      <c r="A246" s="132" t="s">
        <v>53</v>
      </c>
      <c r="B246" s="132"/>
      <c r="C246" s="132"/>
      <c r="D246" s="132"/>
      <c r="E246" s="132"/>
      <c r="F246" s="132"/>
      <c r="G246" s="132"/>
      <c r="H246" s="132"/>
      <c r="I246" s="132"/>
      <c r="J246" s="132"/>
      <c r="AG246" s="46"/>
    </row>
    <row r="247" spans="1:34" ht="15.75" x14ac:dyDescent="0.25">
      <c r="A247" s="19" t="s">
        <v>58</v>
      </c>
      <c r="B247" s="60" t="s">
        <v>49</v>
      </c>
      <c r="C247" s="61" t="s">
        <v>50</v>
      </c>
      <c r="D247" s="19" t="s">
        <v>54</v>
      </c>
      <c r="E247" s="60" t="s">
        <v>57</v>
      </c>
      <c r="F247" s="61" t="s">
        <v>50</v>
      </c>
      <c r="G247" s="19" t="s">
        <v>48</v>
      </c>
      <c r="H247" s="60" t="s">
        <v>61</v>
      </c>
      <c r="I247" s="61" t="s">
        <v>50</v>
      </c>
      <c r="J247" s="19" t="s">
        <v>82</v>
      </c>
      <c r="K247" s="83" t="s">
        <v>84</v>
      </c>
      <c r="L247" s="61" t="s">
        <v>50</v>
      </c>
      <c r="M247" s="61" t="s">
        <v>85</v>
      </c>
      <c r="O247" s="174" t="s">
        <v>64</v>
      </c>
      <c r="P247" s="174"/>
      <c r="Q247" s="175" t="s">
        <v>109</v>
      </c>
      <c r="R247" s="175"/>
    </row>
    <row r="248" spans="1:34" ht="24.75" x14ac:dyDescent="0.25">
      <c r="A248" s="61" t="s">
        <v>51</v>
      </c>
      <c r="B248" s="1">
        <f>AA242</f>
        <v>1.8543515323034395E-6</v>
      </c>
      <c r="C248" s="59">
        <f>MAX(AC242+1*L235-F242,0)</f>
        <v>0</v>
      </c>
      <c r="D248" s="62" t="s">
        <v>55</v>
      </c>
      <c r="E248" s="1">
        <f>AA242*AA243</f>
        <v>1.3557719424618909E-10</v>
      </c>
      <c r="F248" s="1">
        <f>MAX(AC243+2*L235-F243,0)</f>
        <v>29.666666666666657</v>
      </c>
      <c r="G248" s="62" t="s">
        <v>59</v>
      </c>
      <c r="H248" s="1">
        <f>AA242*AA243*AA244</f>
        <v>3.5112419551202589E-13</v>
      </c>
      <c r="I248" s="1">
        <f>AC244+3*L235-F244</f>
        <v>145.66666666666666</v>
      </c>
      <c r="J248" s="62" t="s">
        <v>83</v>
      </c>
      <c r="K248" s="1">
        <f>AA242*AA243*AA244*AA245</f>
        <v>2.0386393063962515E-15</v>
      </c>
      <c r="L248" s="1">
        <f>AC245+4*L235-F245</f>
        <v>171.33333333333331</v>
      </c>
      <c r="M248" s="1">
        <f>B248*C248*AH242+E248*F248*AH243+H248*I248*AH244+K248*L248*AH245</f>
        <v>2.7155784279295734E-7</v>
      </c>
      <c r="O248" s="1" t="s">
        <v>27</v>
      </c>
      <c r="P248" s="1">
        <f>2*H233</f>
        <v>3640</v>
      </c>
      <c r="Q248" s="1">
        <f>(K242*(1-P242)*(1-U242)*(1-Z242))+(P242*(1-K242)*(1-U242)*(1-Z242))+(U242*(1-K242)*(1-P242)*(1-Z242))+(Z242*(1-K242)*(1-P242)*(1-U242))</f>
        <v>0.19389466846386108</v>
      </c>
      <c r="R248" s="1">
        <f>Q248*(L$7*(J$5*K$5+L$5)+I$5)</f>
        <v>6833.8175900087836</v>
      </c>
    </row>
    <row r="249" spans="1:34" ht="24.75" x14ac:dyDescent="0.25">
      <c r="A249" s="62" t="s">
        <v>52</v>
      </c>
      <c r="B249" s="1">
        <f>AB242</f>
        <v>0.99999814564846767</v>
      </c>
      <c r="C249" s="59">
        <f>MAX(AC242-F242,0)</f>
        <v>0</v>
      </c>
      <c r="D249" s="62" t="s">
        <v>56</v>
      </c>
      <c r="E249" s="1">
        <f>AA242*AB243+AA243*AB242</f>
        <v>7.4967075343749566E-5</v>
      </c>
      <c r="F249" s="1">
        <f>MAX(AC243+1*L235-F243,0)</f>
        <v>17.666666666666657</v>
      </c>
      <c r="G249" s="62" t="s">
        <v>60</v>
      </c>
      <c r="H249" s="1">
        <f>AA242*AA243*AB244+AA243*AA244*AB242+AA242*AA244*AB243</f>
        <v>1.9428848441352311E-7</v>
      </c>
      <c r="I249" s="1">
        <f>AC244+2*L235-F244</f>
        <v>133.66666666666666</v>
      </c>
      <c r="J249" s="62" t="s">
        <v>59</v>
      </c>
      <c r="K249">
        <f>AB242*AA243*AA244*AA245+AB243*AA242*AA244*AA245*+AB244*AA242*AA243*AA245+AB245*AA242*AA243*AA244</f>
        <v>1.0997282973877493E-9</v>
      </c>
      <c r="L249" s="1">
        <f>AC245+3*L235-F245</f>
        <v>159.33333333333331</v>
      </c>
      <c r="M249" s="1">
        <f>B249*C249*AH242+E249*F249*AH243+H249*I249*AH244+K249*L249*AH245</f>
        <v>8.9789717932123453E-2</v>
      </c>
      <c r="O249" s="1" t="s">
        <v>28</v>
      </c>
      <c r="P249" s="1">
        <f>2*H234</f>
        <v>5440</v>
      </c>
      <c r="Q249" s="1">
        <f t="shared" ref="Q249:Q251" si="26">(K243*(1-P243)*(1-U243)*(1-Z243))+(P243*(1-K243)*(1-U243)*(1-Z243))+(U243*(1-K243)*(1-P243)*(1-Z243))+(Z243*(1-K243)*(1-P243)*(1-U243))</f>
        <v>0.37330502838363955</v>
      </c>
      <c r="R249" s="1">
        <f t="shared" ref="R249:R251" si="27">Q249*(L$7*(J$5*K$5+L$5)+I$5)</f>
        <v>13157.135725381377</v>
      </c>
    </row>
    <row r="250" spans="1:34" ht="24.75" x14ac:dyDescent="0.25">
      <c r="A250" s="1"/>
      <c r="B250" s="1"/>
      <c r="C250" s="1"/>
      <c r="D250" s="62" t="s">
        <v>52</v>
      </c>
      <c r="E250" s="1">
        <f>AB242*AB243</f>
        <v>0.99992503278907907</v>
      </c>
      <c r="F250" s="59">
        <f>MAX(AC243-F243,0)</f>
        <v>5.6666666666666572</v>
      </c>
      <c r="G250" s="62" t="s">
        <v>56</v>
      </c>
      <c r="H250" s="1">
        <f>AA242*AB243*AB244+AA243*AB242*AB244*+AA244*AB242*AB243</f>
        <v>2.0382603932314363E-6</v>
      </c>
      <c r="I250" s="1">
        <f>AC244+1*L235-F244</f>
        <v>121.66666666666666</v>
      </c>
      <c r="J250" s="62" t="s">
        <v>60</v>
      </c>
      <c r="K250" s="1">
        <f>AA242*AA243*AB244*AB245 + AA242*AA244*AB243*AB245 + AA242*AA245*AB243*AB244 + AA243*AA244*AB242*AB245 + AA243*AA245*AB242*AB244 + AA244*AA245*AB242*AB243</f>
        <v>1.56629094793744E-5</v>
      </c>
      <c r="L250" s="1">
        <f>AC245+2*L235-F245</f>
        <v>147.33333333333331</v>
      </c>
      <c r="M250" s="1">
        <f>B250*C250*AH242+E250*F250*AH243+H250*I250*AH244+K250*L250*AH245</f>
        <v>379.84427548588013</v>
      </c>
      <c r="O250" s="1" t="s">
        <v>29</v>
      </c>
      <c r="P250" s="1">
        <f>2*(F235*(J233*K233+L233)+H235)</f>
        <v>28200</v>
      </c>
      <c r="Q250" s="1">
        <f t="shared" si="26"/>
        <v>0.46837630322953872</v>
      </c>
      <c r="R250" s="1">
        <f t="shared" si="27"/>
        <v>16507.922807325092</v>
      </c>
    </row>
    <row r="251" spans="1:34" ht="24.75" x14ac:dyDescent="0.25">
      <c r="A251" s="1"/>
      <c r="B251" s="1"/>
      <c r="C251" s="1"/>
      <c r="D251" s="1"/>
      <c r="E251" s="1"/>
      <c r="F251" s="1"/>
      <c r="G251" s="62" t="s">
        <v>52</v>
      </c>
      <c r="H251" s="1">
        <f>AB242*AB243*AB244</f>
        <v>0.99733537990046084</v>
      </c>
      <c r="I251" s="63">
        <f>AC244-F244</f>
        <v>109.66666666666666</v>
      </c>
      <c r="J251" s="62" t="s">
        <v>56</v>
      </c>
      <c r="K251" s="1">
        <f>AA242*AB243*AB244*AB245+AA243*AB242*AB244*AB245+AA244*AB242*AB243*AB245+AA245*AB242*AB243*AB244</f>
        <v>8.4395200077328394E-3</v>
      </c>
      <c r="L251" s="1">
        <f>AC245+1*L235-F245</f>
        <v>135.33333333333331</v>
      </c>
      <c r="M251" s="1">
        <f>B251*C251*AH242+E251*F251*AH243+H251*I251*AH244+K251*L251*AH245</f>
        <v>4472.0604783189747</v>
      </c>
      <c r="O251" s="1" t="s">
        <v>30</v>
      </c>
      <c r="P251" s="1">
        <v>0</v>
      </c>
      <c r="Q251" s="1">
        <f t="shared" si="26"/>
        <v>0.45110446806089105</v>
      </c>
      <c r="R251" s="1">
        <f t="shared" si="27"/>
        <v>15899.176976806106</v>
      </c>
    </row>
    <row r="252" spans="1:34" ht="30" x14ac:dyDescent="0.25">
      <c r="I252" s="84"/>
      <c r="J252" s="62" t="s">
        <v>52</v>
      </c>
      <c r="K252" s="85">
        <f>AB242*AB243*AB244*AB245</f>
        <v>0.99154481595439103</v>
      </c>
      <c r="L252" s="1">
        <f>AC245+0*L235-F245</f>
        <v>123.33333333333331</v>
      </c>
      <c r="M252" s="1">
        <f>B252*C252*AH242+E252*F252*AH243+H252*I252*AH244+K252*L252*AH245</f>
        <v>10394.694820588531</v>
      </c>
      <c r="O252" s="64" t="s">
        <v>65</v>
      </c>
      <c r="P252" s="65">
        <f>SUM(P248:P251)</f>
        <v>37280</v>
      </c>
      <c r="Q252" s="96" t="s">
        <v>108</v>
      </c>
      <c r="R252" s="97">
        <f>SUM(R248:R251)</f>
        <v>52398.053099521363</v>
      </c>
    </row>
    <row r="253" spans="1:34" x14ac:dyDescent="0.25">
      <c r="L253" s="176" t="s">
        <v>63</v>
      </c>
      <c r="M253" s="177">
        <f>SUM(M248:M252)</f>
        <v>15246.689364382877</v>
      </c>
    </row>
    <row r="254" spans="1:34" x14ac:dyDescent="0.25">
      <c r="L254" s="176"/>
      <c r="M254" s="177"/>
    </row>
    <row r="255" spans="1:34" x14ac:dyDescent="0.25">
      <c r="A255" s="178" t="s">
        <v>90</v>
      </c>
      <c r="B255" s="178"/>
      <c r="C255" s="178"/>
      <c r="D255" s="178"/>
      <c r="E255" s="178"/>
      <c r="F255" s="178"/>
      <c r="G255" s="178"/>
      <c r="H255" s="178"/>
      <c r="I255" s="178"/>
      <c r="J255" s="178"/>
      <c r="K255" s="178"/>
      <c r="L255" s="178"/>
      <c r="M255" s="178"/>
      <c r="N255" s="178"/>
    </row>
    <row r="256" spans="1:34" ht="15.75" x14ac:dyDescent="0.25">
      <c r="A256" s="87" t="s">
        <v>77</v>
      </c>
      <c r="B256" s="62" t="s">
        <v>49</v>
      </c>
      <c r="C256" s="90" t="s">
        <v>78</v>
      </c>
      <c r="D256" s="62" t="s">
        <v>88</v>
      </c>
      <c r="E256" s="87" t="s">
        <v>76</v>
      </c>
      <c r="F256" s="62" t="s">
        <v>57</v>
      </c>
      <c r="G256" s="90" t="s">
        <v>102</v>
      </c>
      <c r="H256" s="62" t="s">
        <v>88</v>
      </c>
      <c r="I256" s="87" t="s">
        <v>75</v>
      </c>
      <c r="J256" s="62" t="s">
        <v>61</v>
      </c>
      <c r="K256" s="90" t="s">
        <v>87</v>
      </c>
      <c r="L256" s="62" t="s">
        <v>88</v>
      </c>
      <c r="M256" s="87" t="s">
        <v>86</v>
      </c>
      <c r="N256" s="62" t="s">
        <v>84</v>
      </c>
      <c r="O256" s="90" t="s">
        <v>103</v>
      </c>
      <c r="P256" s="62" t="s">
        <v>88</v>
      </c>
    </row>
    <row r="257" spans="1:22" ht="24.75" x14ac:dyDescent="0.25">
      <c r="A257" s="62" t="s">
        <v>51</v>
      </c>
      <c r="B257" s="86">
        <v>1.8543515323034395E-6</v>
      </c>
      <c r="C257" s="86">
        <f>AC242+1*L235</f>
        <v>67</v>
      </c>
      <c r="D257" s="86">
        <f>MAX(B257*1.5*((C257-F242)*500/2),0)</f>
        <v>0</v>
      </c>
      <c r="E257" s="62" t="s">
        <v>55</v>
      </c>
      <c r="F257" s="86">
        <v>1.3557719424618909E-10</v>
      </c>
      <c r="G257" s="86">
        <f>AC243+2*L235</f>
        <v>124.66666666666666</v>
      </c>
      <c r="H257" s="86">
        <f>F257*1.5*((G257-F243)*500/2+(G257-F244)*500)</f>
        <v>6.456863875974754E-6</v>
      </c>
      <c r="I257" s="62" t="s">
        <v>59</v>
      </c>
      <c r="J257" s="86">
        <v>3.5112419551202589E-13</v>
      </c>
      <c r="K257" s="86">
        <f>AC244+3*L235</f>
        <v>221.66666666666666</v>
      </c>
      <c r="L257" s="86">
        <f>J257*1.5*((K257-G257)*500/2+(K257-F245)*500)</f>
        <v>3.4278499586861524E-8</v>
      </c>
      <c r="M257" s="62" t="s">
        <v>83</v>
      </c>
      <c r="N257" s="86">
        <v>2.0386393063962515E-15</v>
      </c>
      <c r="O257" s="86">
        <f>AC245+4*L235</f>
        <v>311.33333333333331</v>
      </c>
      <c r="P257" s="86">
        <f>N257*1.5*((O257-K257)*500/2)</f>
        <v>6.8549246677573951E-11</v>
      </c>
    </row>
    <row r="258" spans="1:22" ht="24.75" x14ac:dyDescent="0.25">
      <c r="A258" s="62" t="s">
        <v>52</v>
      </c>
      <c r="B258" s="86">
        <v>0.99999814564846767</v>
      </c>
      <c r="C258" s="88">
        <f>AC242</f>
        <v>55</v>
      </c>
      <c r="D258" s="86">
        <f>MAX(B258*1.5*((C258-F242)*500/2),0)</f>
        <v>0</v>
      </c>
      <c r="E258" s="62" t="s">
        <v>56</v>
      </c>
      <c r="F258" s="86">
        <v>7.4967075343749566E-5</v>
      </c>
      <c r="G258" s="86">
        <f>AC243+1*L235</f>
        <v>112.66666666666666</v>
      </c>
      <c r="H258" s="86">
        <f>F258*1.5*((G258-F243)*500/2+(G258-F244)*500)</f>
        <v>2.5582514461054529</v>
      </c>
      <c r="I258" s="62" t="s">
        <v>60</v>
      </c>
      <c r="J258" s="86">
        <v>1.9428848441352311E-7</v>
      </c>
      <c r="K258" s="86">
        <f>AC244+2*L235</f>
        <v>209.66666666666666</v>
      </c>
      <c r="L258" s="86">
        <f>J258*1.5*((K258-G258)*500/2+(K258-F245)*500)</f>
        <v>1.7218816931148483E-2</v>
      </c>
      <c r="M258" s="62" t="s">
        <v>59</v>
      </c>
      <c r="N258" s="86">
        <v>1.0997282973877493E-9</v>
      </c>
      <c r="O258" s="86">
        <f>AC245+3*L235</f>
        <v>299.33333333333331</v>
      </c>
      <c r="P258" s="86">
        <f>N258*1.5*((O258-K258)*500/2)</f>
        <v>3.6978363999663064E-5</v>
      </c>
    </row>
    <row r="259" spans="1:22" x14ac:dyDescent="0.25">
      <c r="A259" s="86"/>
      <c r="B259" s="86"/>
      <c r="C259" s="89" t="s">
        <v>89</v>
      </c>
      <c r="D259" s="89">
        <f>SUM(D257:D258)</f>
        <v>0</v>
      </c>
      <c r="E259" s="62" t="s">
        <v>52</v>
      </c>
      <c r="F259" s="86">
        <v>0.99992503278907907</v>
      </c>
      <c r="G259" s="86">
        <f>AC243+0*L235</f>
        <v>100.66666666666666</v>
      </c>
      <c r="H259" s="86">
        <f>F259*1.5*((G259-F243)*500/2+(G259-F244)*500)</f>
        <v>20623.453801274743</v>
      </c>
      <c r="I259" s="62" t="s">
        <v>56</v>
      </c>
      <c r="J259" s="86">
        <v>2.0382603932314363E-6</v>
      </c>
      <c r="K259" s="86">
        <f>AC244+1*L235</f>
        <v>197.66666666666666</v>
      </c>
      <c r="L259" s="86">
        <f>J259*1.5*((K259-G259)*500/2+(K259-F245)*500)</f>
        <v>0.1622964838110531</v>
      </c>
      <c r="M259" s="62" t="s">
        <v>60</v>
      </c>
      <c r="N259" s="86">
        <v>1.56629094793744E-5</v>
      </c>
      <c r="O259" s="86">
        <f>AC245+2*L235</f>
        <v>287.33333333333331</v>
      </c>
      <c r="P259" s="86">
        <f>N259*1.5*((O259-K259)*500/2)</f>
        <v>0.5266653312439642</v>
      </c>
    </row>
    <row r="260" spans="1:22" x14ac:dyDescent="0.25">
      <c r="A260" s="86"/>
      <c r="B260" s="86"/>
      <c r="C260" s="86"/>
      <c r="D260" s="86"/>
      <c r="E260" s="86"/>
      <c r="F260" s="86"/>
      <c r="G260" s="89" t="s">
        <v>79</v>
      </c>
      <c r="H260" s="89">
        <f>SUM(H257:H259)</f>
        <v>20626.012059177712</v>
      </c>
      <c r="I260" s="62" t="s">
        <v>52</v>
      </c>
      <c r="J260" s="86">
        <v>0.99733537990046084</v>
      </c>
      <c r="K260" s="86">
        <f>AC244+0*L235</f>
        <v>185.66666666666666</v>
      </c>
      <c r="L260" s="86">
        <f>J260*1.5*((K260-G259)*500/2+(K260-F245)*500)</f>
        <v>65948.801995917966</v>
      </c>
      <c r="M260" s="62" t="s">
        <v>56</v>
      </c>
      <c r="N260" s="86">
        <v>8.4395200077328394E-3</v>
      </c>
      <c r="O260" s="86">
        <f>AC245+1*L235</f>
        <v>275.33333333333331</v>
      </c>
      <c r="P260" s="86">
        <f>N260*1.5*((O260-K260)*500/2)</f>
        <v>283.7788602600167</v>
      </c>
    </row>
    <row r="261" spans="1:22" x14ac:dyDescent="0.25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9" t="s">
        <v>79</v>
      </c>
      <c r="L261" s="89">
        <f>SUM(L257:L260)</f>
        <v>65948.98151125299</v>
      </c>
      <c r="M261" s="62" t="s">
        <v>52</v>
      </c>
      <c r="N261" s="86">
        <v>0.99154481595439103</v>
      </c>
      <c r="O261" s="86">
        <f>AC245+0*L235</f>
        <v>263.33333333333331</v>
      </c>
      <c r="P261" s="86">
        <f>N261*1.5*((O261-K260)*500/2)</f>
        <v>28878.742764671635</v>
      </c>
      <c r="Q261" s="179" t="s">
        <v>80</v>
      </c>
      <c r="R261" s="179"/>
      <c r="S261" s="180">
        <f>D259+H260+L261+P262</f>
        <v>115738.04189767202</v>
      </c>
      <c r="T261" s="180"/>
    </row>
    <row r="262" spans="1:22" x14ac:dyDescent="0.25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9" t="s">
        <v>79</v>
      </c>
      <c r="P262" s="89">
        <f>SUM(P257:P261)</f>
        <v>29163.048327241329</v>
      </c>
      <c r="Q262" s="179"/>
      <c r="R262" s="179"/>
      <c r="S262" s="180"/>
      <c r="T262" s="180"/>
    </row>
    <row r="263" spans="1:22" x14ac:dyDescent="0.25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</row>
    <row r="264" spans="1:22" x14ac:dyDescent="0.25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</row>
    <row r="265" spans="1:22" x14ac:dyDescent="0.25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</row>
    <row r="266" spans="1:22" ht="24" x14ac:dyDescent="0.25">
      <c r="O266" s="131" t="s">
        <v>81</v>
      </c>
      <c r="P266" s="131"/>
      <c r="Q266" s="131">
        <f>(R252+P252+M253+S261)/AC245</f>
        <v>837.95994061358078</v>
      </c>
      <c r="R266" s="131"/>
    </row>
    <row r="267" spans="1:22" ht="15.75" thickBot="1" x14ac:dyDescent="0.3"/>
    <row r="268" spans="1:22" x14ac:dyDescent="0.25">
      <c r="A268" s="181" t="s">
        <v>111</v>
      </c>
      <c r="B268" s="182"/>
    </row>
    <row r="269" spans="1:22" ht="15.75" thickBot="1" x14ac:dyDescent="0.3">
      <c r="A269" s="183"/>
      <c r="B269" s="184"/>
    </row>
    <row r="270" spans="1:22" ht="21" x14ac:dyDescent="0.35">
      <c r="A270" s="185" t="s">
        <v>14</v>
      </c>
      <c r="B270" s="185"/>
      <c r="C270" s="165"/>
      <c r="D270" s="165"/>
      <c r="E270" s="165"/>
      <c r="F270" s="165"/>
      <c r="G270" s="165"/>
      <c r="H270" s="165"/>
      <c r="I270" s="165"/>
      <c r="J270" s="165"/>
      <c r="K270" s="165"/>
      <c r="L270" s="165"/>
      <c r="M270" s="165"/>
      <c r="O270" s="166" t="s">
        <v>72</v>
      </c>
      <c r="P270" s="166"/>
      <c r="Q270" s="166"/>
      <c r="R270" s="166"/>
      <c r="S270" s="166"/>
      <c r="T270" s="166"/>
      <c r="U270" s="166"/>
      <c r="V270" s="166"/>
    </row>
    <row r="271" spans="1:22" ht="36" x14ac:dyDescent="0.25">
      <c r="A271" s="4" t="s">
        <v>15</v>
      </c>
      <c r="B271" s="4" t="s">
        <v>16</v>
      </c>
      <c r="C271" s="4" t="s">
        <v>31</v>
      </c>
      <c r="D271" s="6" t="s">
        <v>17</v>
      </c>
      <c r="E271" s="6" t="s">
        <v>18</v>
      </c>
      <c r="F271" s="6" t="s">
        <v>19</v>
      </c>
      <c r="G271" s="6" t="s">
        <v>20</v>
      </c>
      <c r="H271" s="6" t="s">
        <v>21</v>
      </c>
      <c r="I271" s="6" t="s">
        <v>22</v>
      </c>
      <c r="J271" s="6" t="s">
        <v>23</v>
      </c>
      <c r="K271" s="6" t="s">
        <v>24</v>
      </c>
      <c r="L271" s="6" t="s">
        <v>25</v>
      </c>
      <c r="M271" s="6" t="s">
        <v>26</v>
      </c>
      <c r="N271" s="8"/>
      <c r="O271" s="167" t="s">
        <v>32</v>
      </c>
      <c r="P271" s="167" t="s">
        <v>35</v>
      </c>
      <c r="Q271" s="167" t="s">
        <v>66</v>
      </c>
      <c r="R271" s="99" t="s">
        <v>67</v>
      </c>
      <c r="S271" s="99" t="s">
        <v>68</v>
      </c>
      <c r="T271" s="167" t="s">
        <v>69</v>
      </c>
      <c r="U271" s="71" t="s">
        <v>33</v>
      </c>
      <c r="V271" s="99" t="s">
        <v>70</v>
      </c>
    </row>
    <row r="272" spans="1:22" x14ac:dyDescent="0.25">
      <c r="A272" s="3" t="s">
        <v>27</v>
      </c>
      <c r="B272" s="3">
        <v>0</v>
      </c>
      <c r="C272" s="3">
        <v>0.3</v>
      </c>
      <c r="D272" s="3">
        <v>243</v>
      </c>
      <c r="E272" s="3">
        <v>1.73</v>
      </c>
      <c r="F272" s="3">
        <v>5</v>
      </c>
      <c r="G272" s="169">
        <v>12</v>
      </c>
      <c r="H272" s="3">
        <v>1820</v>
      </c>
      <c r="I272" s="169">
        <v>19645</v>
      </c>
      <c r="J272" s="3">
        <v>20</v>
      </c>
      <c r="K272" s="3">
        <v>40</v>
      </c>
      <c r="L272" s="3">
        <v>500</v>
      </c>
      <c r="M272" s="3">
        <v>1000</v>
      </c>
      <c r="O272" s="168"/>
      <c r="P272" s="168"/>
      <c r="Q272" s="168"/>
      <c r="R272" s="72" t="s">
        <v>71</v>
      </c>
      <c r="S272" s="72" t="s">
        <v>71</v>
      </c>
      <c r="T272" s="168"/>
      <c r="U272" s="73">
        <v>500</v>
      </c>
      <c r="V272" s="3">
        <v>1.5</v>
      </c>
    </row>
    <row r="273" spans="1:34" x14ac:dyDescent="0.25">
      <c r="A273" s="3" t="s">
        <v>28</v>
      </c>
      <c r="B273" s="3">
        <v>0</v>
      </c>
      <c r="C273" s="3">
        <v>0.3</v>
      </c>
      <c r="D273" s="3">
        <v>254</v>
      </c>
      <c r="E273" s="3">
        <v>1.88</v>
      </c>
      <c r="F273" s="3">
        <v>3</v>
      </c>
      <c r="G273" s="170"/>
      <c r="H273" s="3">
        <v>2720</v>
      </c>
      <c r="I273" s="170"/>
      <c r="J273" s="5"/>
      <c r="K273" s="5"/>
      <c r="L273" s="5"/>
      <c r="M273" s="5"/>
      <c r="O273" s="74">
        <v>1</v>
      </c>
      <c r="P273" s="74">
        <v>106</v>
      </c>
      <c r="Q273" s="74">
        <v>110</v>
      </c>
      <c r="R273" s="74">
        <v>6</v>
      </c>
      <c r="S273" s="74">
        <v>5</v>
      </c>
      <c r="T273" s="74">
        <f>R273*$U$5/60+S273</f>
        <v>55</v>
      </c>
      <c r="U273" s="75"/>
    </row>
    <row r="274" spans="1:34" x14ac:dyDescent="0.25">
      <c r="A274" s="3" t="s">
        <v>29</v>
      </c>
      <c r="B274" s="3">
        <v>0</v>
      </c>
      <c r="C274" s="3">
        <v>0.3</v>
      </c>
      <c r="D274" s="3">
        <v>143</v>
      </c>
      <c r="E274" s="3">
        <v>2.4300000000000002</v>
      </c>
      <c r="F274" s="3">
        <v>8</v>
      </c>
      <c r="G274" s="170"/>
      <c r="H274" s="3">
        <v>3700</v>
      </c>
      <c r="I274" s="170"/>
      <c r="J274" s="5"/>
      <c r="K274" s="140" t="s">
        <v>73</v>
      </c>
      <c r="L274" s="141">
        <v>12</v>
      </c>
      <c r="M274" s="140" t="s">
        <v>74</v>
      </c>
      <c r="N274" s="141">
        <v>19645</v>
      </c>
      <c r="O274" s="74">
        <v>2</v>
      </c>
      <c r="P274" s="74">
        <v>76</v>
      </c>
      <c r="Q274" s="74">
        <v>40</v>
      </c>
      <c r="R274" s="74">
        <v>9</v>
      </c>
      <c r="S274" s="74">
        <v>2</v>
      </c>
      <c r="T274" s="74">
        <f t="shared" ref="T274:T276" si="28">R274*$U$5/60+S274</f>
        <v>77</v>
      </c>
      <c r="U274" s="75"/>
    </row>
    <row r="275" spans="1:34" x14ac:dyDescent="0.25">
      <c r="A275" s="3" t="s">
        <v>30</v>
      </c>
      <c r="B275" s="3">
        <v>0</v>
      </c>
      <c r="C275" s="3">
        <v>0.3</v>
      </c>
      <c r="D275" s="3">
        <v>449</v>
      </c>
      <c r="E275" s="3">
        <v>2.5299999999999998</v>
      </c>
      <c r="F275" s="3">
        <v>4</v>
      </c>
      <c r="G275" s="171"/>
      <c r="H275" s="3">
        <v>4320</v>
      </c>
      <c r="I275" s="171"/>
      <c r="J275" s="5"/>
      <c r="K275" s="140"/>
      <c r="L275" s="141"/>
      <c r="M275" s="140"/>
      <c r="N275" s="141"/>
      <c r="O275" s="74">
        <v>3</v>
      </c>
      <c r="P275" s="74">
        <v>95</v>
      </c>
      <c r="Q275" s="74">
        <v>67</v>
      </c>
      <c r="R275" s="74">
        <v>5</v>
      </c>
      <c r="S275" s="74">
        <v>4</v>
      </c>
      <c r="T275" s="74">
        <f t="shared" si="28"/>
        <v>45.666666666666664</v>
      </c>
      <c r="U275" s="75"/>
    </row>
    <row r="276" spans="1:34" ht="15.75" thickBo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O276" s="74">
        <v>4</v>
      </c>
      <c r="P276" s="74">
        <v>140</v>
      </c>
      <c r="Q276" s="94">
        <v>85</v>
      </c>
      <c r="R276" s="94">
        <v>8</v>
      </c>
      <c r="S276" s="94">
        <v>3</v>
      </c>
      <c r="T276" s="74">
        <f t="shared" si="28"/>
        <v>69.666666666666671</v>
      </c>
    </row>
    <row r="277" spans="1:34" ht="15" customHeight="1" x14ac:dyDescent="0.25">
      <c r="A277" s="172" t="s">
        <v>104</v>
      </c>
      <c r="B277" s="144" t="s">
        <v>105</v>
      </c>
      <c r="C277" s="144"/>
      <c r="D277" s="144"/>
      <c r="E277" s="144"/>
      <c r="F277" s="20" t="s">
        <v>27</v>
      </c>
      <c r="G277" s="20" t="s">
        <v>28</v>
      </c>
      <c r="H277" s="20" t="s">
        <v>29</v>
      </c>
      <c r="I277" s="20" t="s">
        <v>30</v>
      </c>
    </row>
    <row r="278" spans="1:34" ht="15.75" customHeight="1" thickBot="1" x14ac:dyDescent="0.3">
      <c r="A278" s="173"/>
      <c r="B278" s="145"/>
      <c r="C278" s="145"/>
      <c r="D278" s="145"/>
      <c r="E278" s="145"/>
      <c r="F278" s="20">
        <v>84</v>
      </c>
      <c r="G278" s="26">
        <v>84</v>
      </c>
      <c r="H278" s="26">
        <v>84</v>
      </c>
      <c r="I278" s="26">
        <v>252</v>
      </c>
    </row>
    <row r="279" spans="1:34" ht="15.75" customHeight="1" thickBot="1" x14ac:dyDescent="0.3">
      <c r="A279" s="173"/>
      <c r="B279" s="145"/>
      <c r="C279" s="145"/>
      <c r="D279" s="145"/>
      <c r="E279" s="145"/>
      <c r="F279" s="7"/>
      <c r="G279" s="146" t="s">
        <v>27</v>
      </c>
      <c r="H279" s="147"/>
      <c r="I279" s="147"/>
      <c r="J279" s="147"/>
      <c r="K279" s="148"/>
      <c r="L279" s="149" t="s">
        <v>28</v>
      </c>
      <c r="M279" s="150"/>
      <c r="N279" s="150"/>
      <c r="O279" s="150"/>
      <c r="P279" s="151"/>
      <c r="Q279" s="152" t="s">
        <v>29</v>
      </c>
      <c r="R279" s="153"/>
      <c r="S279" s="153"/>
      <c r="T279" s="153"/>
      <c r="U279" s="154"/>
      <c r="V279" s="155" t="s">
        <v>30</v>
      </c>
      <c r="W279" s="156"/>
      <c r="X279" s="156"/>
      <c r="Y279" s="156"/>
      <c r="Z279" s="157"/>
      <c r="AA279" s="158" t="s">
        <v>42</v>
      </c>
      <c r="AB279" s="159"/>
      <c r="AC279" s="160" t="s">
        <v>44</v>
      </c>
      <c r="AD279" s="162" t="s">
        <v>47</v>
      </c>
      <c r="AE279" s="163"/>
      <c r="AF279" s="163"/>
      <c r="AG279" s="164"/>
      <c r="AH279" s="138" t="s">
        <v>62</v>
      </c>
    </row>
    <row r="280" spans="1:34" ht="36.75" x14ac:dyDescent="0.25">
      <c r="A280" s="21" t="s">
        <v>32</v>
      </c>
      <c r="B280" s="22" t="s">
        <v>37</v>
      </c>
      <c r="C280" s="23" t="s">
        <v>33</v>
      </c>
      <c r="D280" s="22" t="s">
        <v>38</v>
      </c>
      <c r="E280" s="22" t="s">
        <v>34</v>
      </c>
      <c r="F280" s="25" t="s">
        <v>35</v>
      </c>
      <c r="G280" s="27" t="s">
        <v>39</v>
      </c>
      <c r="H280" s="10" t="s">
        <v>40</v>
      </c>
      <c r="I280" s="10" t="s">
        <v>45</v>
      </c>
      <c r="J280" s="10" t="s">
        <v>46</v>
      </c>
      <c r="K280" s="28" t="s">
        <v>41</v>
      </c>
      <c r="L280" s="30" t="s">
        <v>39</v>
      </c>
      <c r="M280" s="13" t="s">
        <v>40</v>
      </c>
      <c r="N280" s="13" t="s">
        <v>45</v>
      </c>
      <c r="O280" s="13" t="s">
        <v>46</v>
      </c>
      <c r="P280" s="31" t="s">
        <v>41</v>
      </c>
      <c r="Q280" s="33" t="s">
        <v>39</v>
      </c>
      <c r="R280" s="12" t="s">
        <v>40</v>
      </c>
      <c r="S280" s="12" t="s">
        <v>45</v>
      </c>
      <c r="T280" s="12" t="s">
        <v>46</v>
      </c>
      <c r="U280" s="34" t="s">
        <v>41</v>
      </c>
      <c r="V280" s="36" t="s">
        <v>39</v>
      </c>
      <c r="W280" s="11" t="s">
        <v>40</v>
      </c>
      <c r="X280" s="11" t="s">
        <v>45</v>
      </c>
      <c r="Y280" s="11" t="s">
        <v>46</v>
      </c>
      <c r="Z280" s="37" t="s">
        <v>41</v>
      </c>
      <c r="AA280" s="39" t="s">
        <v>41</v>
      </c>
      <c r="AB280" s="40" t="s">
        <v>43</v>
      </c>
      <c r="AC280" s="161"/>
      <c r="AD280" s="43" t="s">
        <v>27</v>
      </c>
      <c r="AE280" s="1" t="s">
        <v>28</v>
      </c>
      <c r="AF280" s="1" t="s">
        <v>29</v>
      </c>
      <c r="AG280" s="1" t="s">
        <v>30</v>
      </c>
      <c r="AH280" s="139"/>
    </row>
    <row r="281" spans="1:34" x14ac:dyDescent="0.25">
      <c r="A281" s="24">
        <v>1</v>
      </c>
      <c r="B281" s="9">
        <v>6</v>
      </c>
      <c r="C281" s="9">
        <v>500</v>
      </c>
      <c r="D281" s="9">
        <v>5</v>
      </c>
      <c r="E281" s="48">
        <f>B281*C281/60+D281</f>
        <v>55</v>
      </c>
      <c r="F281" s="14">
        <v>106</v>
      </c>
      <c r="G281" s="49">
        <f>B$5*(1-AD281*C$5)</f>
        <v>0</v>
      </c>
      <c r="H281" s="50">
        <f>G281+E281</f>
        <v>55</v>
      </c>
      <c r="I281" s="15">
        <f>(H281/D$5)^E$5</f>
        <v>7.6511831764011648E-2</v>
      </c>
      <c r="J281" s="15">
        <f>(G281/D$5)^E$5</f>
        <v>0</v>
      </c>
      <c r="K281" s="29">
        <f>1-EXP(J281-I281)</f>
        <v>7.3658046035411151E-2</v>
      </c>
      <c r="L281" s="51">
        <f>B$6*(1-AE281*C$6)</f>
        <v>0</v>
      </c>
      <c r="M281" s="52">
        <f>L281+E281</f>
        <v>55</v>
      </c>
      <c r="N281" s="17">
        <f>(M281/D$6)^E$6</f>
        <v>5.633709759436846E-2</v>
      </c>
      <c r="O281" s="17">
        <f>(L281/D$6)^E$6</f>
        <v>0</v>
      </c>
      <c r="P281" s="32">
        <f>1-EXP(O281-N281)</f>
        <v>5.4779549360660096E-2</v>
      </c>
      <c r="Q281" s="53">
        <f>B$7*(1-AF281*C$7)</f>
        <v>0</v>
      </c>
      <c r="R281" s="54">
        <f>Q281+E281</f>
        <v>55</v>
      </c>
      <c r="S281" s="16">
        <f>(R281/D$7)^E$7</f>
        <v>9.8087748172662498E-2</v>
      </c>
      <c r="T281" s="16">
        <f>(Q281/D$7)^E$7</f>
        <v>0</v>
      </c>
      <c r="U281" s="35">
        <f>1-EXP(T281-S281)</f>
        <v>9.3430649540250821E-2</v>
      </c>
      <c r="V281" s="55">
        <f>B$8*(1-AG281*C$8)</f>
        <v>0</v>
      </c>
      <c r="W281" s="56">
        <f>V281+E281</f>
        <v>55</v>
      </c>
      <c r="X281" s="18">
        <f>(W281/D$8)^E$8</f>
        <v>4.9309927237744132E-3</v>
      </c>
      <c r="Y281" s="18">
        <f>(V281/D$8)^E$8</f>
        <v>0</v>
      </c>
      <c r="Z281" s="38">
        <f>1-EXP(Y281-X281)</f>
        <v>4.9188553371368737E-3</v>
      </c>
      <c r="AA281" s="41">
        <f>K281*P281*U281*Z281</f>
        <v>1.8543515323034395E-6</v>
      </c>
      <c r="AB281" s="42">
        <f>1-AA281</f>
        <v>0.99999814564846767</v>
      </c>
      <c r="AC281" s="47">
        <f>(AD281*F$5+AE281*F$6+AF281*F$7+AG281*F$8)+E281</f>
        <v>55</v>
      </c>
      <c r="AD281" s="43">
        <v>0</v>
      </c>
      <c r="AE281" s="1">
        <v>0</v>
      </c>
      <c r="AF281" s="1">
        <v>0</v>
      </c>
      <c r="AG281" s="1">
        <v>0</v>
      </c>
      <c r="AH281" s="44">
        <v>110</v>
      </c>
    </row>
    <row r="282" spans="1:34" x14ac:dyDescent="0.25">
      <c r="A282" s="24">
        <v>3</v>
      </c>
      <c r="B282" s="9">
        <v>5</v>
      </c>
      <c r="C282" s="9">
        <v>500</v>
      </c>
      <c r="D282" s="9">
        <v>4</v>
      </c>
      <c r="E282" s="9">
        <f t="shared" ref="E282:E284" si="29">B282*C282/60+D282</f>
        <v>45.666666666666664</v>
      </c>
      <c r="F282" s="14">
        <v>95</v>
      </c>
      <c r="G282" s="49">
        <f>H281*(1-AD282*C$5)</f>
        <v>55</v>
      </c>
      <c r="H282" s="50">
        <f>G282+E282</f>
        <v>100.66666666666666</v>
      </c>
      <c r="I282" s="15">
        <f>(H282/D$5)^E$5</f>
        <v>0.21771752434165836</v>
      </c>
      <c r="J282" s="15">
        <f>(G282/D$5)^E$5</f>
        <v>7.6511831764011648E-2</v>
      </c>
      <c r="K282" s="29">
        <f>1-EXP(J282-I282)</f>
        <v>0.13168931173612675</v>
      </c>
      <c r="L282" s="51">
        <f>M281*(1-AE282*C$6)</f>
        <v>55</v>
      </c>
      <c r="M282" s="52">
        <f>L282+E282</f>
        <v>100.66666666666666</v>
      </c>
      <c r="N282" s="17">
        <f>(M282/D$6)^E$6</f>
        <v>0.17552448466860393</v>
      </c>
      <c r="O282" s="17">
        <f>(L282/D$6)^E$6</f>
        <v>5.633709759436846E-2</v>
      </c>
      <c r="P282" s="32">
        <f>1-EXP(O282-N282)</f>
        <v>0.11235854735808759</v>
      </c>
      <c r="Q282" s="53">
        <f>R281*(1-AF282*C$7)</f>
        <v>55</v>
      </c>
      <c r="R282" s="54">
        <f>Q282+E282</f>
        <v>100.66666666666666</v>
      </c>
      <c r="S282" s="16">
        <f>(R282/D$7)^E$7</f>
        <v>0.42613347475170693</v>
      </c>
      <c r="T282" s="16">
        <f>(Q282/D$7)^E$7</f>
        <v>9.8087748172662498E-2</v>
      </c>
      <c r="U282" s="35">
        <f>1-EXP(T282-S282)</f>
        <v>0.27966991927816065</v>
      </c>
      <c r="V282" s="55">
        <f>W281*(1-AG282*C$8)</f>
        <v>55</v>
      </c>
      <c r="W282" s="56">
        <f>V282+E282</f>
        <v>100.66666666666666</v>
      </c>
      <c r="X282" s="18">
        <f>(W282/D$8)^E$8</f>
        <v>2.275713304339216E-2</v>
      </c>
      <c r="Y282" s="18">
        <f>(V282/D$8)^E$8</f>
        <v>4.9309927237744132E-3</v>
      </c>
      <c r="Z282" s="38">
        <f>1-EXP(Y282-X282)</f>
        <v>1.766819459368596E-2</v>
      </c>
      <c r="AA282" s="41">
        <f>K282*P282*U282*Z282</f>
        <v>7.3112994965834617E-5</v>
      </c>
      <c r="AB282" s="42">
        <f>1-AA282</f>
        <v>0.99992688700503418</v>
      </c>
      <c r="AC282" s="47">
        <f>AF282*F$7+E282+AC281</f>
        <v>100.66666666666666</v>
      </c>
      <c r="AD282" s="43">
        <v>0</v>
      </c>
      <c r="AE282" s="1">
        <v>0</v>
      </c>
      <c r="AF282" s="1">
        <v>0</v>
      </c>
      <c r="AG282" s="1">
        <v>0</v>
      </c>
      <c r="AH282" s="44">
        <v>67</v>
      </c>
    </row>
    <row r="283" spans="1:34" x14ac:dyDescent="0.25">
      <c r="A283" s="57">
        <v>4</v>
      </c>
      <c r="B283" s="58">
        <v>8</v>
      </c>
      <c r="C283" s="58">
        <v>500</v>
      </c>
      <c r="D283" s="58">
        <v>3</v>
      </c>
      <c r="E283" s="66">
        <f t="shared" si="29"/>
        <v>69.666666666666671</v>
      </c>
      <c r="F283" s="67">
        <v>140</v>
      </c>
      <c r="G283" s="68">
        <f>H282*(1-AD283*C$5)</f>
        <v>70.466666666666654</v>
      </c>
      <c r="H283" s="69">
        <f>G283+E283</f>
        <v>140.13333333333333</v>
      </c>
      <c r="I283" s="70">
        <f>(H283/D$5)^E$5</f>
        <v>0.38584942708200459</v>
      </c>
      <c r="J283" s="70">
        <f>(G283/D$5)^E$5</f>
        <v>0.11746622079432449</v>
      </c>
      <c r="K283" s="29">
        <f>1-EXP(J283-I283)</f>
        <v>0.2353852802132943</v>
      </c>
      <c r="L283" s="51">
        <f>M282*(1-AE283*C$6)</f>
        <v>70.466666666666654</v>
      </c>
      <c r="M283" s="52">
        <f>L283+E283</f>
        <v>140.13333333333333</v>
      </c>
      <c r="N283" s="17">
        <f>(M283/D$6)^E$6</f>
        <v>0.32689670548124367</v>
      </c>
      <c r="O283" s="17">
        <f>(L283/D$6)^E$6</f>
        <v>8.9768097666615101E-2</v>
      </c>
      <c r="P283" s="32">
        <f>1-EXP(O283-N283)</f>
        <v>0.21111017590303682</v>
      </c>
      <c r="Q283" s="53">
        <f>R282*(1-AF283*C$7)</f>
        <v>70.466666666666654</v>
      </c>
      <c r="R283" s="54">
        <f>Q283+E283</f>
        <v>140.13333333333333</v>
      </c>
      <c r="S283" s="16">
        <f>(R283/D$7)^E$7</f>
        <v>0.95198292505493443</v>
      </c>
      <c r="T283" s="16">
        <f>(Q283/D$7)^E$7</f>
        <v>0.17911579648738157</v>
      </c>
      <c r="U283" s="35">
        <f>1-EXP(T283-S283)</f>
        <v>0.53831254841918419</v>
      </c>
      <c r="V283" s="55">
        <f>W282*(1-AG283*C$8)</f>
        <v>100.66666666666666</v>
      </c>
      <c r="W283" s="56">
        <f>V283+E283</f>
        <v>170.33333333333331</v>
      </c>
      <c r="X283" s="18">
        <f>(W283/D$8)^E$8</f>
        <v>8.6100338756432845E-2</v>
      </c>
      <c r="Y283" s="18">
        <f>(V283/D$8)^E$8</f>
        <v>2.275713304339216E-2</v>
      </c>
      <c r="Z283" s="38">
        <f>1-EXP(Y283-X283)</f>
        <v>6.1378721782433199E-2</v>
      </c>
      <c r="AA283" s="41">
        <f>K283*P283*U283*Z283</f>
        <v>1.641877729125787E-3</v>
      </c>
      <c r="AB283" s="42">
        <f>1-AA283</f>
        <v>0.99835812227087417</v>
      </c>
      <c r="AC283" s="47">
        <f>(AF283*F$7)+E283+AC282</f>
        <v>178.33333333333331</v>
      </c>
      <c r="AD283" s="77">
        <v>1</v>
      </c>
      <c r="AE283" s="78">
        <v>1</v>
      </c>
      <c r="AF283" s="78">
        <v>1</v>
      </c>
      <c r="AG283" s="78">
        <v>0</v>
      </c>
      <c r="AH283" s="79">
        <v>85</v>
      </c>
    </row>
    <row r="284" spans="1:34" ht="15.75" thickBot="1" x14ac:dyDescent="0.3">
      <c r="A284" s="76">
        <v>2</v>
      </c>
      <c r="B284" s="58">
        <v>9</v>
      </c>
      <c r="C284" s="58">
        <v>500</v>
      </c>
      <c r="D284" s="58">
        <v>2</v>
      </c>
      <c r="E284" s="66">
        <f t="shared" si="29"/>
        <v>77</v>
      </c>
      <c r="F284" s="67">
        <v>76</v>
      </c>
      <c r="G284" s="68">
        <f>H283*(1-AD284*C$5)</f>
        <v>98.09333333333332</v>
      </c>
      <c r="H284" s="69">
        <f>G284+E284</f>
        <v>175.09333333333331</v>
      </c>
      <c r="I284" s="70">
        <f>(H284/D$5)^E$5</f>
        <v>0.56722788558876358</v>
      </c>
      <c r="J284" s="70">
        <f>(G284/D$5)^E$5</f>
        <v>0.20817926408097581</v>
      </c>
      <c r="K284" s="29">
        <f>1-EXP(J284-I284)</f>
        <v>0.30165960383690649</v>
      </c>
      <c r="L284" s="51">
        <f>M283*(1-AE284*C$6)</f>
        <v>98.09333333333332</v>
      </c>
      <c r="M284" s="52">
        <f>L284+E284</f>
        <v>175.09333333333331</v>
      </c>
      <c r="N284" s="17">
        <f>(M284/D$6)^E$6</f>
        <v>0.49688911241375849</v>
      </c>
      <c r="O284" s="17">
        <f>(L284/D$6)^E$6</f>
        <v>0.16718405662856181</v>
      </c>
      <c r="P284" s="32">
        <f>1-EXP(O284-N284)</f>
        <v>0.28086419289859976</v>
      </c>
      <c r="Q284" s="53">
        <f>R283*(1-AF284*C$7)</f>
        <v>98.09333333333332</v>
      </c>
      <c r="R284" s="54">
        <f>Q284+E284</f>
        <v>175.09333333333331</v>
      </c>
      <c r="S284" s="16">
        <f>(R284/D$7)^E$7</f>
        <v>1.6356055775969487</v>
      </c>
      <c r="T284" s="16">
        <f>(Q284/D$7)^E$7</f>
        <v>0.40014500142931764</v>
      </c>
      <c r="U284" s="35">
        <f>1-EXP(T284-S284)</f>
        <v>0.70929915834970092</v>
      </c>
      <c r="V284" s="55">
        <f>W283*(1-AG284*C$8)</f>
        <v>170.33333333333331</v>
      </c>
      <c r="W284" s="56">
        <f>V284+E284</f>
        <v>247.33333333333331</v>
      </c>
      <c r="X284" s="18">
        <f>(W284/D$8)^E$8</f>
        <v>0.221218713919872</v>
      </c>
      <c r="Y284" s="18">
        <f>(V284/D$8)^E$8</f>
        <v>8.6100338756432845E-2</v>
      </c>
      <c r="Z284" s="38">
        <f>1-EXP(Y284-X284)</f>
        <v>0.12638750845450208</v>
      </c>
      <c r="AA284" s="41">
        <f>K284*P284*U284*Z284</f>
        <v>7.5953384043399306E-3</v>
      </c>
      <c r="AB284" s="42">
        <f>1-AA284</f>
        <v>0.9924046615956601</v>
      </c>
      <c r="AC284" s="47">
        <f>(AF284*F$7)+E284+AC283</f>
        <v>263.33333333333331</v>
      </c>
      <c r="AD284" s="80">
        <v>1</v>
      </c>
      <c r="AE284" s="45">
        <v>1</v>
      </c>
      <c r="AF284" s="81">
        <v>1</v>
      </c>
      <c r="AG284" s="45">
        <v>0</v>
      </c>
      <c r="AH284" s="82">
        <v>40</v>
      </c>
    </row>
    <row r="285" spans="1:34" ht="18.75" x14ac:dyDescent="0.3">
      <c r="A285" s="132" t="s">
        <v>53</v>
      </c>
      <c r="B285" s="132"/>
      <c r="C285" s="132"/>
      <c r="D285" s="132"/>
      <c r="E285" s="132"/>
      <c r="F285" s="132"/>
      <c r="G285" s="132"/>
      <c r="H285" s="132"/>
      <c r="I285" s="132"/>
      <c r="J285" s="132"/>
      <c r="AG285" s="46"/>
    </row>
    <row r="286" spans="1:34" ht="15.75" x14ac:dyDescent="0.25">
      <c r="A286" s="19" t="s">
        <v>58</v>
      </c>
      <c r="B286" s="60" t="s">
        <v>49</v>
      </c>
      <c r="C286" s="61" t="s">
        <v>50</v>
      </c>
      <c r="D286" s="19" t="s">
        <v>54</v>
      </c>
      <c r="E286" s="60" t="s">
        <v>57</v>
      </c>
      <c r="F286" s="61" t="s">
        <v>50</v>
      </c>
      <c r="G286" s="19" t="s">
        <v>82</v>
      </c>
      <c r="H286" s="60" t="s">
        <v>61</v>
      </c>
      <c r="I286" s="61" t="s">
        <v>50</v>
      </c>
      <c r="J286" s="19" t="s">
        <v>48</v>
      </c>
      <c r="K286" s="83" t="s">
        <v>84</v>
      </c>
      <c r="L286" s="61" t="s">
        <v>50</v>
      </c>
      <c r="M286" s="61" t="s">
        <v>85</v>
      </c>
      <c r="O286" s="174" t="s">
        <v>64</v>
      </c>
      <c r="P286" s="174"/>
      <c r="Q286" s="175" t="s">
        <v>109</v>
      </c>
      <c r="R286" s="175"/>
    </row>
    <row r="287" spans="1:34" ht="24.75" x14ac:dyDescent="0.25">
      <c r="A287" s="61" t="s">
        <v>51</v>
      </c>
      <c r="B287" s="1">
        <f>AA281</f>
        <v>1.8543515323034395E-6</v>
      </c>
      <c r="C287" s="59">
        <f>MAX(AC281+1*L274-F281,0)</f>
        <v>0</v>
      </c>
      <c r="D287" s="62" t="s">
        <v>55</v>
      </c>
      <c r="E287" s="1">
        <f>AA281*AA282</f>
        <v>1.3557719424618909E-10</v>
      </c>
      <c r="F287" s="1">
        <f>MAX(AC282+2*L274-F282,0)</f>
        <v>29.666666666666657</v>
      </c>
      <c r="G287" s="62" t="s">
        <v>59</v>
      </c>
      <c r="H287" s="1">
        <f>AA281*AA282*AA283</f>
        <v>2.2260117581017866E-13</v>
      </c>
      <c r="I287" s="1">
        <f>AC283+3*L274-F283</f>
        <v>74.333333333333314</v>
      </c>
      <c r="J287" s="62" t="s">
        <v>83</v>
      </c>
      <c r="K287" s="1">
        <f>AA281*AA282*AA283*AA284</f>
        <v>1.6907312594822747E-15</v>
      </c>
      <c r="L287" s="1">
        <f>AC284+4*L274-F284</f>
        <v>235.33333333333331</v>
      </c>
      <c r="M287" s="1">
        <f>B287*C287*AH281+E287*F287*AH282+H287*I287*AH283+K287*L287*AH284</f>
        <v>2.7090465360942503E-7</v>
      </c>
      <c r="O287" s="1" t="s">
        <v>27</v>
      </c>
      <c r="P287" s="1">
        <f>2*H272</f>
        <v>3640</v>
      </c>
      <c r="Q287" s="1">
        <f>(K281*(1-P281)*(1-U281)*(1-Z281))+(P281*(1-K281)*(1-U281)*(1-Z281))+(U281*(1-K281)*(1-P281)*(1-Z281))+(Z281*(1-K281)*(1-P281)*(1-U281))</f>
        <v>0.19389466846386108</v>
      </c>
      <c r="R287" s="1">
        <f>Q287*(L$7*(J$5*K$5+L$5)+I$5)</f>
        <v>6833.8175900087836</v>
      </c>
    </row>
    <row r="288" spans="1:34" ht="24.75" x14ac:dyDescent="0.25">
      <c r="A288" s="62" t="s">
        <v>52</v>
      </c>
      <c r="B288" s="1">
        <f>AB281</f>
        <v>0.99999814564846767</v>
      </c>
      <c r="C288" s="59">
        <f>MAX(AC281-F281,0)</f>
        <v>0</v>
      </c>
      <c r="D288" s="62" t="s">
        <v>56</v>
      </c>
      <c r="E288" s="1">
        <f>AA281*AB282+AA282*AB281</f>
        <v>7.4967075343749566E-5</v>
      </c>
      <c r="F288" s="1">
        <f>MAX(AC282+1*L274-F282,0)</f>
        <v>17.666666666666657</v>
      </c>
      <c r="G288" s="62" t="s">
        <v>60</v>
      </c>
      <c r="H288" s="1">
        <f>AA281*AA282*AB283+AA282*AA283*AB281+AA281*AA283*AB282</f>
        <v>1.2322212601766767E-7</v>
      </c>
      <c r="I288" s="1">
        <f>AC283+2*L274-F283</f>
        <v>62.333333333333314</v>
      </c>
      <c r="J288" s="62" t="s">
        <v>59</v>
      </c>
      <c r="K288">
        <f>AB281*AA282*AA283*AA284+AB282*AA281*AA283*AA284*+AB283*AA281*AA282*AA284+AB284*AA281*AA282*AA283</f>
        <v>9.1198337555386435E-10</v>
      </c>
      <c r="L288" s="1">
        <f>AC284+3*L274-F284</f>
        <v>223.33333333333331</v>
      </c>
      <c r="M288" s="1">
        <f>B288*C288*AH281+E288*F288*AH282+H288*I288*AH283+K288*L288*AH284</f>
        <v>8.9397047131056742E-2</v>
      </c>
      <c r="O288" s="1" t="s">
        <v>28</v>
      </c>
      <c r="P288" s="1">
        <f>2*H273</f>
        <v>5440</v>
      </c>
      <c r="Q288" s="1">
        <f t="shared" ref="Q288:Q290" si="30">(K282*(1-P282)*(1-U282)*(1-Z282))+(P282*(1-K282)*(1-U282)*(1-Z282))+(U282*(1-K282)*(1-P282)*(1-Z282))+(Z282*(1-K282)*(1-P282)*(1-U282))</f>
        <v>0.37330502838363955</v>
      </c>
      <c r="R288" s="1">
        <f t="shared" ref="R288:R290" si="31">Q288*(L$7*(J$5*K$5+L$5)+I$5)</f>
        <v>13157.135725381377</v>
      </c>
    </row>
    <row r="289" spans="1:20" ht="24.75" x14ac:dyDescent="0.25">
      <c r="A289" s="1"/>
      <c r="B289" s="1"/>
      <c r="C289" s="1"/>
      <c r="D289" s="62" t="s">
        <v>52</v>
      </c>
      <c r="E289" s="1">
        <f>AB281*AB282</f>
        <v>0.99992503278907907</v>
      </c>
      <c r="F289" s="59">
        <f>MAX(AC282-F282,0)</f>
        <v>5.6666666666666572</v>
      </c>
      <c r="G289" s="62" t="s">
        <v>56</v>
      </c>
      <c r="H289" s="1">
        <f>AA281*AB282*AB283+AA282*AB281*AB283*+AA283*AB281*AB282</f>
        <v>1.9710078554010367E-6</v>
      </c>
      <c r="I289" s="1">
        <f>AC283+1*L274-F283</f>
        <v>50.333333333333314</v>
      </c>
      <c r="J289" s="62" t="s">
        <v>60</v>
      </c>
      <c r="K289" s="1">
        <f>AA281*AA282*AB283*AB284 + AA281*AA283*AB282*AB284 + AA281*AA284*AB282*AB283 + AA282*AA283*AB281*AB284 + AA282*AA284*AB281*AB283 + AA283*AA284*AB281*AB282</f>
        <v>1.3160433716895746E-5</v>
      </c>
      <c r="L289" s="1">
        <f>AC284+2*L274-F284</f>
        <v>211.33333333333331</v>
      </c>
      <c r="M289" s="1">
        <f>B289*C289*AH281+E289*F289*AH282+H289*I289*AH283+K289*L289*AH284</f>
        <v>379.7578862772146</v>
      </c>
      <c r="O289" s="1" t="s">
        <v>29</v>
      </c>
      <c r="P289" s="1">
        <f>2*(F274*(J272*K272+L272)+H274)</f>
        <v>28200</v>
      </c>
      <c r="Q289" s="1">
        <f t="shared" si="30"/>
        <v>0.47229190224554984</v>
      </c>
      <c r="R289" s="1">
        <f t="shared" si="31"/>
        <v>16645.928094644405</v>
      </c>
    </row>
    <row r="290" spans="1:20" ht="24.75" x14ac:dyDescent="0.25">
      <c r="A290" s="1"/>
      <c r="B290" s="1"/>
      <c r="C290" s="1"/>
      <c r="D290" s="1"/>
      <c r="E290" s="1"/>
      <c r="F290" s="1"/>
      <c r="G290" s="62" t="s">
        <v>52</v>
      </c>
      <c r="H290" s="1">
        <f>AB281*AB282*AB283</f>
        <v>0.99828327814694728</v>
      </c>
      <c r="I290" s="63">
        <f>AC283-F283</f>
        <v>38.333333333333314</v>
      </c>
      <c r="J290" s="62" t="s">
        <v>56</v>
      </c>
      <c r="K290" s="1">
        <f>AA281*AB282*AB283*AB284+AA282*AB281*AB283*AB284+AA283*AB281*AB282*AB284+AA284*AB281*AB282*AB283</f>
        <v>9.2858598041193306E-3</v>
      </c>
      <c r="L290" s="1">
        <f>AC284+1*L274-F284</f>
        <v>199.33333333333331</v>
      </c>
      <c r="M290" s="1">
        <f>B290*C290*AH281+E290*F290*AH282+H290*I290*AH283+K290*L290*AH284</f>
        <v>3326.7789368003127</v>
      </c>
      <c r="O290" s="1" t="s">
        <v>30</v>
      </c>
      <c r="P290" s="1">
        <v>0</v>
      </c>
      <c r="Q290" s="1">
        <f t="shared" si="30"/>
        <v>0.43454586683249724</v>
      </c>
      <c r="R290" s="1">
        <f t="shared" si="31"/>
        <v>15315.569076511365</v>
      </c>
    </row>
    <row r="291" spans="1:20" ht="30" x14ac:dyDescent="0.25">
      <c r="I291" s="84"/>
      <c r="J291" s="62" t="s">
        <v>52</v>
      </c>
      <c r="K291" s="85">
        <f>AB281*AB282*AB283*AB284</f>
        <v>0.99070097882602748</v>
      </c>
      <c r="L291" s="1">
        <f>AC284+0*L274-F284</f>
        <v>187.33333333333331</v>
      </c>
      <c r="M291" s="1">
        <f>B291*C291*AH281+E291*F291*AH282+H291*I291*AH283+K291*L291*AH284</f>
        <v>7423.652668003032</v>
      </c>
      <c r="O291" s="64" t="s">
        <v>65</v>
      </c>
      <c r="P291" s="65">
        <f>SUM(P287:P290)</f>
        <v>37280</v>
      </c>
      <c r="Q291" s="96" t="s">
        <v>108</v>
      </c>
      <c r="R291" s="97">
        <f>SUM(R287:R290)</f>
        <v>51952.450486545931</v>
      </c>
    </row>
    <row r="292" spans="1:20" x14ac:dyDescent="0.25">
      <c r="L292" s="176" t="s">
        <v>63</v>
      </c>
      <c r="M292" s="177">
        <f>SUM(M287:M291)</f>
        <v>11130.278888398596</v>
      </c>
    </row>
    <row r="293" spans="1:20" x14ac:dyDescent="0.25">
      <c r="L293" s="176"/>
      <c r="M293" s="177"/>
    </row>
    <row r="294" spans="1:20" x14ac:dyDescent="0.25">
      <c r="A294" s="178" t="s">
        <v>90</v>
      </c>
      <c r="B294" s="178"/>
      <c r="C294" s="178"/>
      <c r="D294" s="178"/>
      <c r="E294" s="178"/>
      <c r="F294" s="178"/>
      <c r="G294" s="178"/>
      <c r="H294" s="178"/>
      <c r="I294" s="178"/>
      <c r="J294" s="178"/>
      <c r="K294" s="178"/>
      <c r="L294" s="178"/>
      <c r="M294" s="178"/>
      <c r="N294" s="178"/>
    </row>
    <row r="295" spans="1:20" ht="15.75" x14ac:dyDescent="0.25">
      <c r="A295" s="87" t="s">
        <v>77</v>
      </c>
      <c r="B295" s="62" t="s">
        <v>49</v>
      </c>
      <c r="C295" s="90" t="s">
        <v>78</v>
      </c>
      <c r="D295" s="62" t="s">
        <v>88</v>
      </c>
      <c r="E295" s="87" t="s">
        <v>76</v>
      </c>
      <c r="F295" s="62" t="s">
        <v>57</v>
      </c>
      <c r="G295" s="90" t="s">
        <v>102</v>
      </c>
      <c r="H295" s="62" t="s">
        <v>88</v>
      </c>
      <c r="I295" s="87" t="s">
        <v>86</v>
      </c>
      <c r="J295" s="62" t="s">
        <v>61</v>
      </c>
      <c r="K295" s="90" t="s">
        <v>103</v>
      </c>
      <c r="L295" s="62" t="s">
        <v>88</v>
      </c>
      <c r="M295" s="87" t="s">
        <v>75</v>
      </c>
      <c r="N295" s="62" t="s">
        <v>84</v>
      </c>
      <c r="O295" s="90" t="s">
        <v>87</v>
      </c>
      <c r="P295" s="62" t="s">
        <v>88</v>
      </c>
    </row>
    <row r="296" spans="1:20" ht="24.75" x14ac:dyDescent="0.25">
      <c r="A296" s="62" t="s">
        <v>51</v>
      </c>
      <c r="B296" s="86">
        <v>1.8543515323034395E-6</v>
      </c>
      <c r="C296" s="86">
        <f>AC281+1*L274</f>
        <v>67</v>
      </c>
      <c r="D296" s="86">
        <f>MAX(B296*1.5*((C296-F281)*500/2),0)</f>
        <v>0</v>
      </c>
      <c r="E296" s="62" t="s">
        <v>55</v>
      </c>
      <c r="F296" s="86">
        <v>1.3557719424618909E-10</v>
      </c>
      <c r="G296" s="86">
        <f>AC282+2*L274</f>
        <v>124.66666666666666</v>
      </c>
      <c r="H296" s="86">
        <f>F296*1.5*((G296-F282)*500/2+(G296-F284)*500)</f>
        <v>6.456863875974754E-6</v>
      </c>
      <c r="I296" s="62" t="s">
        <v>59</v>
      </c>
      <c r="J296" s="86">
        <v>2.2260117581017866E-13</v>
      </c>
      <c r="K296" s="86">
        <f>AC283+3*L274</f>
        <v>214.33333333333331</v>
      </c>
      <c r="L296" s="86">
        <f>J296*1.5*((K296-F283)*500/2+(K296-G296)*500)</f>
        <v>2.1174936848943244E-8</v>
      </c>
      <c r="M296" s="62" t="s">
        <v>83</v>
      </c>
      <c r="N296" s="86">
        <v>1.6907312594822747E-15</v>
      </c>
      <c r="O296" s="86">
        <f>AC284+4*L274</f>
        <v>311.33333333333331</v>
      </c>
      <c r="P296" s="86">
        <f>N296*1.5*((O296-K296)*500/2)</f>
        <v>6.1500349563667735E-11</v>
      </c>
    </row>
    <row r="297" spans="1:20" ht="24.75" x14ac:dyDescent="0.25">
      <c r="A297" s="62" t="s">
        <v>52</v>
      </c>
      <c r="B297" s="86">
        <v>0.99999814564846767</v>
      </c>
      <c r="C297" s="88">
        <f>AC281</f>
        <v>55</v>
      </c>
      <c r="D297" s="86">
        <f>MAX(B297*1.5*((C297-F281)*500/2),0)</f>
        <v>0</v>
      </c>
      <c r="E297" s="62" t="s">
        <v>56</v>
      </c>
      <c r="F297" s="86">
        <v>7.4967075343749566E-5</v>
      </c>
      <c r="G297" s="86">
        <f>AC282+1*L274</f>
        <v>112.66666666666666</v>
      </c>
      <c r="H297" s="86">
        <f>F297*1.5*((G297-F282)*500/2+(G297-F284)*500)</f>
        <v>2.5582514461054529</v>
      </c>
      <c r="I297" s="62" t="s">
        <v>60</v>
      </c>
      <c r="J297" s="86">
        <v>1.2322212601766767E-7</v>
      </c>
      <c r="K297" s="86">
        <f>AC283+2*L274</f>
        <v>202.33333333333331</v>
      </c>
      <c r="L297" s="86">
        <f>J297*1.5*((K297-F283)*500/2+(K297-G297)*500)</f>
        <v>1.1167005170351131E-2</v>
      </c>
      <c r="M297" s="62" t="s">
        <v>59</v>
      </c>
      <c r="N297" s="86">
        <v>9.1198337555386435E-10</v>
      </c>
      <c r="O297" s="86">
        <f>AC284+3*L274</f>
        <v>299.33333333333331</v>
      </c>
      <c r="P297" s="86">
        <f>N297*1.5*((O297-K297)*500/2)</f>
        <v>3.3173395285771816E-5</v>
      </c>
    </row>
    <row r="298" spans="1:20" x14ac:dyDescent="0.25">
      <c r="A298" s="86"/>
      <c r="B298" s="86"/>
      <c r="C298" s="89" t="s">
        <v>89</v>
      </c>
      <c r="D298" s="89">
        <f>SUM(D296:D297)</f>
        <v>0</v>
      </c>
      <c r="E298" s="62" t="s">
        <v>52</v>
      </c>
      <c r="F298" s="86">
        <v>0.99992503278907907</v>
      </c>
      <c r="G298" s="86">
        <f>AC282+0*L274</f>
        <v>100.66666666666666</v>
      </c>
      <c r="H298" s="86">
        <f>F298*1.5*((G298-F282)*500/2+(G298-F284)*500)</f>
        <v>20623.453801274743</v>
      </c>
      <c r="I298" s="62" t="s">
        <v>56</v>
      </c>
      <c r="J298" s="86">
        <v>1.9710078554010367E-6</v>
      </c>
      <c r="K298" s="86">
        <f>AC283+1*L274</f>
        <v>190.33333333333331</v>
      </c>
      <c r="L298" s="86">
        <f>J298*1.5*((K298-F283)*500/2+(K298-G298)*500)</f>
        <v>0.16975305154641426</v>
      </c>
      <c r="M298" s="62" t="s">
        <v>60</v>
      </c>
      <c r="N298" s="86">
        <v>1.3160433716895746E-5</v>
      </c>
      <c r="O298" s="86">
        <f>AC284+2*L274</f>
        <v>287.33333333333331</v>
      </c>
      <c r="P298" s="86">
        <f>N298*1.5*((O298-K298)*500/2)</f>
        <v>0.47871077645208276</v>
      </c>
    </row>
    <row r="299" spans="1:20" x14ac:dyDescent="0.25">
      <c r="A299" s="86"/>
      <c r="B299" s="86"/>
      <c r="C299" s="86"/>
      <c r="D299" s="86"/>
      <c r="E299" s="86"/>
      <c r="F299" s="86"/>
      <c r="G299" s="89" t="s">
        <v>79</v>
      </c>
      <c r="H299" s="89">
        <f>SUM(H296:H298)</f>
        <v>20626.012059177712</v>
      </c>
      <c r="I299" s="62" t="s">
        <v>52</v>
      </c>
      <c r="J299" s="86">
        <v>0.99828327814694728</v>
      </c>
      <c r="K299" s="86">
        <f>AC283+0*L274</f>
        <v>178.33333333333331</v>
      </c>
      <c r="L299" s="86">
        <f>J299*1.5*((K299-F283)*500/2+(K299-G298)*500)</f>
        <v>72500.323075422042</v>
      </c>
      <c r="M299" s="62" t="s">
        <v>56</v>
      </c>
      <c r="N299" s="86">
        <v>9.2858598041193306E-3</v>
      </c>
      <c r="O299" s="86">
        <f>AC284+1*L274</f>
        <v>275.33333333333331</v>
      </c>
      <c r="P299" s="86">
        <f>N299*1.5*((O299-K299)*500/2)</f>
        <v>337.77315037484067</v>
      </c>
    </row>
    <row r="300" spans="1:20" x14ac:dyDescent="0.25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9" t="s">
        <v>79</v>
      </c>
      <c r="L300" s="89">
        <f>SUM(L296:L299)</f>
        <v>72500.503995499937</v>
      </c>
      <c r="M300" s="62" t="s">
        <v>52</v>
      </c>
      <c r="N300" s="86">
        <v>0.99070097882602748</v>
      </c>
      <c r="O300" s="86">
        <f>AC284+0*L274</f>
        <v>263.33333333333331</v>
      </c>
      <c r="P300" s="86">
        <f>N300*1.5*((O300-K299)*500/2)</f>
        <v>31578.593700079622</v>
      </c>
      <c r="Q300" s="179" t="s">
        <v>80</v>
      </c>
      <c r="R300" s="179"/>
      <c r="S300" s="180">
        <f>D298+H299+L300+P301</f>
        <v>125043.36164908201</v>
      </c>
      <c r="T300" s="180"/>
    </row>
    <row r="301" spans="1:20" x14ac:dyDescent="0.25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9" t="s">
        <v>79</v>
      </c>
      <c r="P301" s="89">
        <f>SUM(P296:P300)</f>
        <v>31916.845594404371</v>
      </c>
      <c r="Q301" s="179"/>
      <c r="R301" s="179"/>
      <c r="S301" s="180"/>
      <c r="T301" s="180"/>
    </row>
    <row r="302" spans="1:20" x14ac:dyDescent="0.25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</row>
    <row r="303" spans="1:20" x14ac:dyDescent="0.25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</row>
    <row r="304" spans="1:20" x14ac:dyDescent="0.25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</row>
    <row r="305" spans="1:34" ht="24.75" thickBot="1" x14ac:dyDescent="0.3">
      <c r="O305" s="131" t="s">
        <v>81</v>
      </c>
      <c r="P305" s="131"/>
      <c r="Q305" s="131">
        <f>(R291+P291+M292+S300)/AC284</f>
        <v>855.97249755959456</v>
      </c>
      <c r="R305" s="131"/>
    </row>
    <row r="306" spans="1:34" x14ac:dyDescent="0.25">
      <c r="A306" s="181" t="s">
        <v>112</v>
      </c>
      <c r="B306" s="182"/>
    </row>
    <row r="307" spans="1:34" ht="15.75" thickBot="1" x14ac:dyDescent="0.3">
      <c r="A307" s="183"/>
      <c r="B307" s="184"/>
    </row>
    <row r="308" spans="1:34" ht="21" x14ac:dyDescent="0.35">
      <c r="A308" s="185" t="s">
        <v>14</v>
      </c>
      <c r="B308" s="185"/>
      <c r="C308" s="165"/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O308" s="166" t="s">
        <v>72</v>
      </c>
      <c r="P308" s="166"/>
      <c r="Q308" s="166"/>
      <c r="R308" s="166"/>
      <c r="S308" s="166"/>
      <c r="T308" s="166"/>
      <c r="U308" s="166"/>
      <c r="V308" s="166"/>
    </row>
    <row r="309" spans="1:34" ht="36" x14ac:dyDescent="0.25">
      <c r="A309" s="4" t="s">
        <v>15</v>
      </c>
      <c r="B309" s="4" t="s">
        <v>16</v>
      </c>
      <c r="C309" s="4" t="s">
        <v>31</v>
      </c>
      <c r="D309" s="6" t="s">
        <v>17</v>
      </c>
      <c r="E309" s="6" t="s">
        <v>18</v>
      </c>
      <c r="F309" s="6" t="s">
        <v>19</v>
      </c>
      <c r="G309" s="6" t="s">
        <v>20</v>
      </c>
      <c r="H309" s="6" t="s">
        <v>21</v>
      </c>
      <c r="I309" s="6" t="s">
        <v>22</v>
      </c>
      <c r="J309" s="6" t="s">
        <v>23</v>
      </c>
      <c r="K309" s="6" t="s">
        <v>24</v>
      </c>
      <c r="L309" s="6" t="s">
        <v>25</v>
      </c>
      <c r="M309" s="6" t="s">
        <v>26</v>
      </c>
      <c r="N309" s="8"/>
      <c r="O309" s="167" t="s">
        <v>32</v>
      </c>
      <c r="P309" s="167" t="s">
        <v>35</v>
      </c>
      <c r="Q309" s="167" t="s">
        <v>66</v>
      </c>
      <c r="R309" s="99" t="s">
        <v>67</v>
      </c>
      <c r="S309" s="99" t="s">
        <v>68</v>
      </c>
      <c r="T309" s="167" t="s">
        <v>69</v>
      </c>
      <c r="U309" s="71" t="s">
        <v>33</v>
      </c>
      <c r="V309" s="99" t="s">
        <v>70</v>
      </c>
    </row>
    <row r="310" spans="1:34" x14ac:dyDescent="0.25">
      <c r="A310" s="3" t="s">
        <v>27</v>
      </c>
      <c r="B310" s="3">
        <v>0</v>
      </c>
      <c r="C310" s="3">
        <v>0.3</v>
      </c>
      <c r="D310" s="3">
        <v>243</v>
      </c>
      <c r="E310" s="3">
        <v>1.73</v>
      </c>
      <c r="F310" s="3">
        <v>5</v>
      </c>
      <c r="G310" s="169">
        <v>12</v>
      </c>
      <c r="H310" s="3">
        <v>1820</v>
      </c>
      <c r="I310" s="169">
        <v>19645</v>
      </c>
      <c r="J310" s="3">
        <v>20</v>
      </c>
      <c r="K310" s="3">
        <v>40</v>
      </c>
      <c r="L310" s="3">
        <v>500</v>
      </c>
      <c r="M310" s="3">
        <v>1000</v>
      </c>
      <c r="O310" s="168"/>
      <c r="P310" s="168"/>
      <c r="Q310" s="168"/>
      <c r="R310" s="72" t="s">
        <v>71</v>
      </c>
      <c r="S310" s="72" t="s">
        <v>71</v>
      </c>
      <c r="T310" s="168"/>
      <c r="U310" s="73">
        <v>500</v>
      </c>
      <c r="V310" s="3">
        <v>1.5</v>
      </c>
    </row>
    <row r="311" spans="1:34" x14ac:dyDescent="0.25">
      <c r="A311" s="3" t="s">
        <v>28</v>
      </c>
      <c r="B311" s="3">
        <v>0</v>
      </c>
      <c r="C311" s="3">
        <v>0.3</v>
      </c>
      <c r="D311" s="3">
        <v>254</v>
      </c>
      <c r="E311" s="3">
        <v>1.88</v>
      </c>
      <c r="F311" s="3">
        <v>3</v>
      </c>
      <c r="G311" s="170"/>
      <c r="H311" s="3">
        <v>2720</v>
      </c>
      <c r="I311" s="170"/>
      <c r="J311" s="5"/>
      <c r="K311" s="5"/>
      <c r="L311" s="5"/>
      <c r="M311" s="5"/>
      <c r="O311" s="74">
        <v>1</v>
      </c>
      <c r="P311" s="74">
        <v>106</v>
      </c>
      <c r="Q311" s="74">
        <v>110</v>
      </c>
      <c r="R311" s="74">
        <v>6</v>
      </c>
      <c r="S311" s="74">
        <v>5</v>
      </c>
      <c r="T311" s="74">
        <f>R311*$U$5/60+S311</f>
        <v>55</v>
      </c>
      <c r="U311" s="75"/>
    </row>
    <row r="312" spans="1:34" x14ac:dyDescent="0.25">
      <c r="A312" s="3" t="s">
        <v>29</v>
      </c>
      <c r="B312" s="3">
        <v>0</v>
      </c>
      <c r="C312" s="3">
        <v>0.3</v>
      </c>
      <c r="D312" s="3">
        <v>143</v>
      </c>
      <c r="E312" s="3">
        <v>2.4300000000000002</v>
      </c>
      <c r="F312" s="3">
        <v>8</v>
      </c>
      <c r="G312" s="170"/>
      <c r="H312" s="3">
        <v>3700</v>
      </c>
      <c r="I312" s="170"/>
      <c r="J312" s="5"/>
      <c r="K312" s="140" t="s">
        <v>73</v>
      </c>
      <c r="L312" s="141">
        <v>12</v>
      </c>
      <c r="M312" s="140" t="s">
        <v>74</v>
      </c>
      <c r="N312" s="141">
        <v>19645</v>
      </c>
      <c r="O312" s="74">
        <v>2</v>
      </c>
      <c r="P312" s="74">
        <v>76</v>
      </c>
      <c r="Q312" s="74">
        <v>40</v>
      </c>
      <c r="R312" s="74">
        <v>9</v>
      </c>
      <c r="S312" s="74">
        <v>2</v>
      </c>
      <c r="T312" s="74">
        <f t="shared" ref="T312:T314" si="32">R312*$U$5/60+S312</f>
        <v>77</v>
      </c>
      <c r="U312" s="75"/>
    </row>
    <row r="313" spans="1:34" x14ac:dyDescent="0.25">
      <c r="A313" s="3" t="s">
        <v>30</v>
      </c>
      <c r="B313" s="3">
        <v>0</v>
      </c>
      <c r="C313" s="3">
        <v>0.3</v>
      </c>
      <c r="D313" s="3">
        <v>449</v>
      </c>
      <c r="E313" s="3">
        <v>2.5299999999999998</v>
      </c>
      <c r="F313" s="3">
        <v>4</v>
      </c>
      <c r="G313" s="171"/>
      <c r="H313" s="3">
        <v>4320</v>
      </c>
      <c r="I313" s="171"/>
      <c r="J313" s="5"/>
      <c r="K313" s="140"/>
      <c r="L313" s="141"/>
      <c r="M313" s="140"/>
      <c r="N313" s="141"/>
      <c r="O313" s="74">
        <v>3</v>
      </c>
      <c r="P313" s="74">
        <v>95</v>
      </c>
      <c r="Q313" s="74">
        <v>67</v>
      </c>
      <c r="R313" s="74">
        <v>5</v>
      </c>
      <c r="S313" s="74">
        <v>4</v>
      </c>
      <c r="T313" s="74">
        <f t="shared" si="32"/>
        <v>45.666666666666664</v>
      </c>
      <c r="U313" s="75"/>
    </row>
    <row r="314" spans="1:34" ht="15.75" thickBo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O314" s="74">
        <v>4</v>
      </c>
      <c r="P314" s="74">
        <v>140</v>
      </c>
      <c r="Q314" s="94">
        <v>85</v>
      </c>
      <c r="R314" s="94">
        <v>8</v>
      </c>
      <c r="S314" s="94">
        <v>3</v>
      </c>
      <c r="T314" s="74">
        <f t="shared" si="32"/>
        <v>69.666666666666671</v>
      </c>
    </row>
    <row r="315" spans="1:34" ht="15" customHeight="1" x14ac:dyDescent="0.25">
      <c r="A315" s="172" t="s">
        <v>104</v>
      </c>
      <c r="B315" s="144" t="s">
        <v>105</v>
      </c>
      <c r="C315" s="144"/>
      <c r="D315" s="144"/>
      <c r="E315" s="144"/>
      <c r="F315" s="20" t="s">
        <v>27</v>
      </c>
      <c r="G315" s="20" t="s">
        <v>28</v>
      </c>
      <c r="H315" s="20" t="s">
        <v>29</v>
      </c>
      <c r="I315" s="20" t="s">
        <v>30</v>
      </c>
    </row>
    <row r="316" spans="1:34" ht="15.75" customHeight="1" thickBot="1" x14ac:dyDescent="0.3">
      <c r="A316" s="173"/>
      <c r="B316" s="145"/>
      <c r="C316" s="145"/>
      <c r="D316" s="145"/>
      <c r="E316" s="145"/>
      <c r="F316" s="20">
        <v>84</v>
      </c>
      <c r="G316" s="26">
        <v>84</v>
      </c>
      <c r="H316" s="26">
        <v>84</v>
      </c>
      <c r="I316" s="26">
        <v>252</v>
      </c>
    </row>
    <row r="317" spans="1:34" ht="15.75" customHeight="1" thickBot="1" x14ac:dyDescent="0.3">
      <c r="A317" s="173"/>
      <c r="B317" s="145"/>
      <c r="C317" s="145"/>
      <c r="D317" s="145"/>
      <c r="E317" s="145"/>
      <c r="F317" s="7"/>
      <c r="G317" s="146" t="s">
        <v>27</v>
      </c>
      <c r="H317" s="147"/>
      <c r="I317" s="147"/>
      <c r="J317" s="147"/>
      <c r="K317" s="148"/>
      <c r="L317" s="149" t="s">
        <v>28</v>
      </c>
      <c r="M317" s="150"/>
      <c r="N317" s="150"/>
      <c r="O317" s="150"/>
      <c r="P317" s="151"/>
      <c r="Q317" s="152" t="s">
        <v>29</v>
      </c>
      <c r="R317" s="153"/>
      <c r="S317" s="153"/>
      <c r="T317" s="153"/>
      <c r="U317" s="154"/>
      <c r="V317" s="155" t="s">
        <v>30</v>
      </c>
      <c r="W317" s="156"/>
      <c r="X317" s="156"/>
      <c r="Y317" s="156"/>
      <c r="Z317" s="157"/>
      <c r="AA317" s="158" t="s">
        <v>42</v>
      </c>
      <c r="AB317" s="159"/>
      <c r="AC317" s="160" t="s">
        <v>44</v>
      </c>
      <c r="AD317" s="162" t="s">
        <v>47</v>
      </c>
      <c r="AE317" s="163"/>
      <c r="AF317" s="163"/>
      <c r="AG317" s="164"/>
      <c r="AH317" s="138" t="s">
        <v>62</v>
      </c>
    </row>
    <row r="318" spans="1:34" ht="36.75" x14ac:dyDescent="0.25">
      <c r="A318" s="21" t="s">
        <v>32</v>
      </c>
      <c r="B318" s="22" t="s">
        <v>37</v>
      </c>
      <c r="C318" s="23" t="s">
        <v>33</v>
      </c>
      <c r="D318" s="22" t="s">
        <v>38</v>
      </c>
      <c r="E318" s="22" t="s">
        <v>34</v>
      </c>
      <c r="F318" s="25" t="s">
        <v>35</v>
      </c>
      <c r="G318" s="27" t="s">
        <v>39</v>
      </c>
      <c r="H318" s="10" t="s">
        <v>40</v>
      </c>
      <c r="I318" s="10" t="s">
        <v>45</v>
      </c>
      <c r="J318" s="10" t="s">
        <v>46</v>
      </c>
      <c r="K318" s="28" t="s">
        <v>41</v>
      </c>
      <c r="L318" s="30" t="s">
        <v>39</v>
      </c>
      <c r="M318" s="13" t="s">
        <v>40</v>
      </c>
      <c r="N318" s="13" t="s">
        <v>45</v>
      </c>
      <c r="O318" s="13" t="s">
        <v>46</v>
      </c>
      <c r="P318" s="31" t="s">
        <v>41</v>
      </c>
      <c r="Q318" s="33" t="s">
        <v>39</v>
      </c>
      <c r="R318" s="12" t="s">
        <v>40</v>
      </c>
      <c r="S318" s="12" t="s">
        <v>45</v>
      </c>
      <c r="T318" s="12" t="s">
        <v>46</v>
      </c>
      <c r="U318" s="34" t="s">
        <v>41</v>
      </c>
      <c r="V318" s="36" t="s">
        <v>39</v>
      </c>
      <c r="W318" s="11" t="s">
        <v>40</v>
      </c>
      <c r="X318" s="11" t="s">
        <v>45</v>
      </c>
      <c r="Y318" s="11" t="s">
        <v>46</v>
      </c>
      <c r="Z318" s="37" t="s">
        <v>41</v>
      </c>
      <c r="AA318" s="39" t="s">
        <v>41</v>
      </c>
      <c r="AB318" s="40" t="s">
        <v>43</v>
      </c>
      <c r="AC318" s="161"/>
      <c r="AD318" s="43" t="s">
        <v>27</v>
      </c>
      <c r="AE318" s="1" t="s">
        <v>28</v>
      </c>
      <c r="AF318" s="1" t="s">
        <v>29</v>
      </c>
      <c r="AG318" s="1" t="s">
        <v>30</v>
      </c>
      <c r="AH318" s="139"/>
    </row>
    <row r="319" spans="1:34" x14ac:dyDescent="0.25">
      <c r="A319" s="24">
        <v>1</v>
      </c>
      <c r="B319" s="9">
        <v>6</v>
      </c>
      <c r="C319" s="9">
        <v>500</v>
      </c>
      <c r="D319" s="9">
        <v>5</v>
      </c>
      <c r="E319" s="48">
        <f>B319*C319/60+D319</f>
        <v>55</v>
      </c>
      <c r="F319" s="100">
        <v>106</v>
      </c>
      <c r="G319" s="49">
        <f>B$5*(1-AD319*C$5)</f>
        <v>0</v>
      </c>
      <c r="H319" s="50">
        <f>G319+E319</f>
        <v>55</v>
      </c>
      <c r="I319" s="15">
        <f>(H319/D$5)^E$5</f>
        <v>7.6511831764011648E-2</v>
      </c>
      <c r="J319" s="15">
        <f>(G319/D$5)^E$5</f>
        <v>0</v>
      </c>
      <c r="K319" s="29">
        <f>1-EXP(J319-I319)</f>
        <v>7.3658046035411151E-2</v>
      </c>
      <c r="L319" s="51">
        <f>B$6*(1-AE319*C$6)</f>
        <v>0</v>
      </c>
      <c r="M319" s="52">
        <f>L319+E319</f>
        <v>55</v>
      </c>
      <c r="N319" s="17">
        <f>(M319/D$6)^E$6</f>
        <v>5.633709759436846E-2</v>
      </c>
      <c r="O319" s="17">
        <f>(L319/D$6)^E$6</f>
        <v>0</v>
      </c>
      <c r="P319" s="32">
        <f>1-EXP(O319-N319)</f>
        <v>5.4779549360660096E-2</v>
      </c>
      <c r="Q319" s="53">
        <f>B$7*(1-AF319*C$7)</f>
        <v>0</v>
      </c>
      <c r="R319" s="54">
        <f>Q319+E319</f>
        <v>55</v>
      </c>
      <c r="S319" s="16">
        <f>(R319/D$7)^E$7</f>
        <v>9.8087748172662498E-2</v>
      </c>
      <c r="T319" s="16">
        <f>(Q319/D$7)^E$7</f>
        <v>0</v>
      </c>
      <c r="U319" s="35">
        <f>1-EXP(T319-S319)</f>
        <v>9.3430649540250821E-2</v>
      </c>
      <c r="V319" s="55">
        <f>B$8*(1-AG319*C$8)</f>
        <v>0</v>
      </c>
      <c r="W319" s="56">
        <f>V319+E319</f>
        <v>55</v>
      </c>
      <c r="X319" s="18">
        <f>(W319/D$8)^E$8</f>
        <v>4.9309927237744132E-3</v>
      </c>
      <c r="Y319" s="18">
        <f>(V319/D$8)^E$8</f>
        <v>0</v>
      </c>
      <c r="Z319" s="38">
        <f>1-EXP(Y319-X319)</f>
        <v>4.9188553371368737E-3</v>
      </c>
      <c r="AA319" s="41">
        <f>K319*P319*U319*Z319</f>
        <v>1.8543515323034395E-6</v>
      </c>
      <c r="AB319" s="42">
        <f>1-AA319</f>
        <v>0.99999814564846767</v>
      </c>
      <c r="AC319" s="47">
        <f>(AD319*F$5+AE319*F$6+AF319*F$7+AG319*F$8)+E319</f>
        <v>55</v>
      </c>
      <c r="AD319" s="43">
        <v>0</v>
      </c>
      <c r="AE319" s="1">
        <v>0</v>
      </c>
      <c r="AF319" s="1">
        <v>0</v>
      </c>
      <c r="AG319" s="1">
        <v>0</v>
      </c>
      <c r="AH319" s="74">
        <v>110</v>
      </c>
    </row>
    <row r="320" spans="1:34" x14ac:dyDescent="0.25">
      <c r="A320" s="76">
        <v>2</v>
      </c>
      <c r="B320" s="58">
        <v>9</v>
      </c>
      <c r="C320" s="9">
        <v>500</v>
      </c>
      <c r="D320" s="58">
        <v>2</v>
      </c>
      <c r="E320" s="48">
        <f t="shared" ref="E320:E322" si="33">B320*C320/60+D320</f>
        <v>77</v>
      </c>
      <c r="F320" s="100">
        <v>76</v>
      </c>
      <c r="G320" s="49">
        <f>H319*(1-AD320*C$5)</f>
        <v>55</v>
      </c>
      <c r="H320" s="50">
        <f>G320+E320</f>
        <v>132</v>
      </c>
      <c r="I320" s="15">
        <f>(H320/D$5)^E$5</f>
        <v>0.34793173894508389</v>
      </c>
      <c r="J320" s="15">
        <f>(G320/D$5)^E$5</f>
        <v>7.6511831764011648E-2</v>
      </c>
      <c r="K320" s="29">
        <f>1-EXP(J320-I320)</f>
        <v>0.23770366451454039</v>
      </c>
      <c r="L320" s="51">
        <f>M319*(1-AE320*C$6)</f>
        <v>55</v>
      </c>
      <c r="M320" s="52">
        <f>L320+E320</f>
        <v>132</v>
      </c>
      <c r="N320" s="17">
        <f>(M320/D$6)^E$6</f>
        <v>0.29214038913862722</v>
      </c>
      <c r="O320" s="17">
        <f>(L320/D$6)^E$6</f>
        <v>5.633709759436846E-2</v>
      </c>
      <c r="P320" s="32">
        <f>1-EXP(O320-N320)</f>
        <v>0.21006395424947955</v>
      </c>
      <c r="Q320" s="53">
        <f>R319*(1-AF320*C$7)</f>
        <v>55</v>
      </c>
      <c r="R320" s="54">
        <f>Q320+E320</f>
        <v>132</v>
      </c>
      <c r="S320" s="16">
        <f>(R320/D$7)^E$7</f>
        <v>0.82324306668270808</v>
      </c>
      <c r="T320" s="16">
        <f>(Q320/D$7)^E$7</f>
        <v>9.8087748172662498E-2</v>
      </c>
      <c r="U320" s="35">
        <f>1-EXP(T320-S320)</f>
        <v>0.5157506497734845</v>
      </c>
      <c r="V320" s="55">
        <f>W319*(1-AG320*C$8)</f>
        <v>55</v>
      </c>
      <c r="W320" s="56">
        <f>V320+E320</f>
        <v>132</v>
      </c>
      <c r="X320" s="18">
        <f>(W320/D$8)^E$8</f>
        <v>4.5171946303006208E-2</v>
      </c>
      <c r="Y320" s="18">
        <f>(V320/D$8)^E$8</f>
        <v>4.9309927237744132E-3</v>
      </c>
      <c r="Z320" s="38">
        <f>1-EXP(Y320-X320)</f>
        <v>3.9442038613110686E-2</v>
      </c>
      <c r="AA320" s="41">
        <f>K320*P320*U320*Z320</f>
        <v>1.0157493454002661E-3</v>
      </c>
      <c r="AB320" s="42">
        <f>1-AA320</f>
        <v>0.99898425065459973</v>
      </c>
      <c r="AC320" s="47">
        <f>AF320*F$7+E320+AC319</f>
        <v>132</v>
      </c>
      <c r="AD320" s="43">
        <v>0</v>
      </c>
      <c r="AE320" s="1">
        <v>0</v>
      </c>
      <c r="AF320" s="1">
        <v>0</v>
      </c>
      <c r="AG320" s="1">
        <v>0</v>
      </c>
      <c r="AH320" s="74">
        <v>40</v>
      </c>
    </row>
    <row r="321" spans="1:34" x14ac:dyDescent="0.25">
      <c r="A321" s="24">
        <v>3</v>
      </c>
      <c r="B321" s="9">
        <v>5</v>
      </c>
      <c r="C321" s="58">
        <v>500</v>
      </c>
      <c r="D321" s="58">
        <v>4</v>
      </c>
      <c r="E321" s="48">
        <f t="shared" si="33"/>
        <v>45.666666666666664</v>
      </c>
      <c r="F321" s="100">
        <v>95</v>
      </c>
      <c r="G321" s="68">
        <f>H320*(1-AD321*C$5)</f>
        <v>92.399999999999991</v>
      </c>
      <c r="H321" s="69">
        <f>G321+E321</f>
        <v>138.06666666666666</v>
      </c>
      <c r="I321" s="70">
        <f>(H321/D$5)^E$5</f>
        <v>0.37605800658011651</v>
      </c>
      <c r="J321" s="70">
        <f>(G321/D$5)^E$5</f>
        <v>0.18772134485664987</v>
      </c>
      <c r="K321" s="29">
        <f>1-EXP(J321-I321)</f>
        <v>0.17166420866995746</v>
      </c>
      <c r="L321" s="51">
        <f>M320*(1-AE321*C$6)</f>
        <v>92.399999999999991</v>
      </c>
      <c r="M321" s="52">
        <f>L321+E321</f>
        <v>138.06666666666666</v>
      </c>
      <c r="N321" s="17">
        <f>(M321/D$6)^E$6</f>
        <v>0.31789202412323359</v>
      </c>
      <c r="O321" s="17">
        <f>(L321/D$6)^E$6</f>
        <v>0.14940871089337018</v>
      </c>
      <c r="P321" s="32">
        <f>1-EXP(O321-N321)</f>
        <v>0.15505463728965418</v>
      </c>
      <c r="Q321" s="53">
        <f>R320*(1-AF321*C$7)</f>
        <v>92.399999999999991</v>
      </c>
      <c r="R321" s="54">
        <f>Q321+E321</f>
        <v>138.06666666666666</v>
      </c>
      <c r="S321" s="16">
        <f>(R321/D$7)^E$7</f>
        <v>0.91822541626396692</v>
      </c>
      <c r="T321" s="16">
        <f>(Q321/D$7)^E$7</f>
        <v>0.34603204471909926</v>
      </c>
      <c r="U321" s="35">
        <f>1-EXP(T321-S321)</f>
        <v>0.43571360936248182</v>
      </c>
      <c r="V321" s="55">
        <f>W320*(1-AG321*C$8)</f>
        <v>132</v>
      </c>
      <c r="W321" s="56">
        <f>V321+E321</f>
        <v>177.66666666666666</v>
      </c>
      <c r="X321" s="18">
        <f>(W321/D$8)^E$8</f>
        <v>9.5789922449281015E-2</v>
      </c>
      <c r="Y321" s="18">
        <f>(V321/D$8)^E$8</f>
        <v>4.5171946303006208E-2</v>
      </c>
      <c r="Z321" s="38">
        <f>1-EXP(Y321-X321)</f>
        <v>4.9358230996020658E-2</v>
      </c>
      <c r="AA321" s="41">
        <f>K321*P321*U321*Z321</f>
        <v>5.724337437850158E-4</v>
      </c>
      <c r="AB321" s="42">
        <f>1-AA321</f>
        <v>0.99942756625621498</v>
      </c>
      <c r="AC321" s="47">
        <f>(AF321*F$7)+E321+AC320</f>
        <v>185.66666666666666</v>
      </c>
      <c r="AD321" s="77">
        <v>1</v>
      </c>
      <c r="AE321" s="78">
        <v>1</v>
      </c>
      <c r="AF321" s="78">
        <v>1</v>
      </c>
      <c r="AG321" s="78">
        <v>0</v>
      </c>
      <c r="AH321" s="74">
        <v>67</v>
      </c>
    </row>
    <row r="322" spans="1:34" ht="15.75" thickBot="1" x14ac:dyDescent="0.3">
      <c r="A322" s="57">
        <v>4</v>
      </c>
      <c r="B322" s="58">
        <v>8</v>
      </c>
      <c r="C322" s="58">
        <v>500</v>
      </c>
      <c r="D322" s="9">
        <v>3</v>
      </c>
      <c r="E322" s="48">
        <f t="shared" si="33"/>
        <v>69.666666666666671</v>
      </c>
      <c r="F322" s="100">
        <v>140</v>
      </c>
      <c r="G322" s="68">
        <f>H321*(1-AD322*C$5)</f>
        <v>96.646666666666661</v>
      </c>
      <c r="H322" s="69">
        <f>G322+E322</f>
        <v>166.31333333333333</v>
      </c>
      <c r="I322" s="70">
        <f>(H322/D$5)^E$5</f>
        <v>0.51892545440479432</v>
      </c>
      <c r="J322" s="70">
        <f>(G322/D$5)^E$5</f>
        <v>0.20289645018695066</v>
      </c>
      <c r="K322" s="29">
        <f>1-EXP(J322-I322)</f>
        <v>0.27096169532483416</v>
      </c>
      <c r="L322" s="51">
        <f>M321*(1-AE322*C$6)</f>
        <v>96.646666666666661</v>
      </c>
      <c r="M322" s="52">
        <f>L322+E322</f>
        <v>166.31333333333333</v>
      </c>
      <c r="N322" s="17">
        <f>(M322/D$6)^E$6</f>
        <v>0.45108200336097515</v>
      </c>
      <c r="O322" s="17">
        <f>(L322/D$6)^E$6</f>
        <v>0.16257881242500377</v>
      </c>
      <c r="P322" s="32">
        <f>1-EXP(O322-N322)</f>
        <v>0.25061558609399515</v>
      </c>
      <c r="Q322" s="53">
        <f>R321*(1-AF322*C$7)</f>
        <v>96.646666666666661</v>
      </c>
      <c r="R322" s="54">
        <f>Q322+E322</f>
        <v>166.31333333333333</v>
      </c>
      <c r="S322" s="16">
        <f>(R322/D$7)^E$7</f>
        <v>1.443398348879422</v>
      </c>
      <c r="T322" s="16">
        <f>(Q322/D$7)^E$7</f>
        <v>0.3859557780221517</v>
      </c>
      <c r="U322" s="35">
        <f>1-EXP(T322-S322)</f>
        <v>0.65265701953009181</v>
      </c>
      <c r="V322" s="55">
        <f>W321*(1-AG322*C$8)</f>
        <v>177.66666666666666</v>
      </c>
      <c r="W322" s="56">
        <f>V322+E322</f>
        <v>247.33333333333331</v>
      </c>
      <c r="X322" s="18">
        <f>(W322/D$8)^E$8</f>
        <v>0.221218713919872</v>
      </c>
      <c r="Y322" s="18">
        <f>(V322/D$8)^E$8</f>
        <v>9.5789922449281015E-2</v>
      </c>
      <c r="Z322" s="38">
        <f>1-EXP(Y322-X322)</f>
        <v>0.11788142344277242</v>
      </c>
      <c r="AA322" s="41">
        <f>K322*P322*U322*Z322</f>
        <v>5.2245195959752608E-3</v>
      </c>
      <c r="AB322" s="42">
        <f>1-AA322</f>
        <v>0.99477548040402475</v>
      </c>
      <c r="AC322" s="47">
        <f>(AF322*F$7)+E322+AC321</f>
        <v>263.33333333333331</v>
      </c>
      <c r="AD322" s="80">
        <v>1</v>
      </c>
      <c r="AE322" s="45">
        <v>1</v>
      </c>
      <c r="AF322" s="81">
        <v>1</v>
      </c>
      <c r="AG322" s="45">
        <v>0</v>
      </c>
      <c r="AH322" s="94">
        <v>85</v>
      </c>
    </row>
    <row r="323" spans="1:34" ht="18.75" x14ac:dyDescent="0.3">
      <c r="A323" s="132" t="s">
        <v>114</v>
      </c>
      <c r="B323" s="132"/>
      <c r="C323" s="132"/>
      <c r="D323" s="132"/>
      <c r="E323" s="132"/>
      <c r="F323" s="132"/>
      <c r="G323" s="132"/>
      <c r="H323" s="132"/>
      <c r="I323" s="132"/>
      <c r="J323" s="132"/>
      <c r="AG323" s="46"/>
    </row>
    <row r="324" spans="1:34" ht="15.75" x14ac:dyDescent="0.25">
      <c r="A324" s="19" t="s">
        <v>58</v>
      </c>
      <c r="B324" s="60" t="s">
        <v>49</v>
      </c>
      <c r="C324" s="61" t="s">
        <v>50</v>
      </c>
      <c r="D324" s="19" t="s">
        <v>48</v>
      </c>
      <c r="E324" s="60" t="s">
        <v>57</v>
      </c>
      <c r="F324" s="61" t="s">
        <v>50</v>
      </c>
      <c r="G324" s="19" t="s">
        <v>54</v>
      </c>
      <c r="H324" s="60" t="s">
        <v>61</v>
      </c>
      <c r="I324" s="61" t="s">
        <v>50</v>
      </c>
      <c r="J324" s="19" t="s">
        <v>82</v>
      </c>
      <c r="K324" s="83" t="s">
        <v>84</v>
      </c>
      <c r="L324" s="61" t="s">
        <v>50</v>
      </c>
      <c r="M324" s="61" t="s">
        <v>85</v>
      </c>
      <c r="O324" s="174" t="s">
        <v>64</v>
      </c>
      <c r="P324" s="174"/>
      <c r="Q324" s="175" t="s">
        <v>109</v>
      </c>
      <c r="R324" s="175"/>
    </row>
    <row r="325" spans="1:34" ht="24.75" x14ac:dyDescent="0.25">
      <c r="A325" s="61" t="s">
        <v>51</v>
      </c>
      <c r="B325" s="1">
        <f>AA319</f>
        <v>1.8543515323034395E-6</v>
      </c>
      <c r="C325" s="59">
        <f>MAX(AC319+1*L312-F319,0)</f>
        <v>0</v>
      </c>
      <c r="D325" s="62" t="s">
        <v>55</v>
      </c>
      <c r="E325" s="1">
        <f>AA319*AA320</f>
        <v>1.8835563550791993E-9</v>
      </c>
      <c r="F325" s="1">
        <f>MAX(AC320+2*L312-F320,0)</f>
        <v>80</v>
      </c>
      <c r="G325" s="62" t="s">
        <v>59</v>
      </c>
      <c r="H325" s="1">
        <f>AA319*AA320*AA321</f>
        <v>1.0782112159680446E-12</v>
      </c>
      <c r="I325" s="1">
        <f>AC321+3*L312-F321</f>
        <v>126.66666666666666</v>
      </c>
      <c r="J325" s="62" t="s">
        <v>83</v>
      </c>
      <c r="K325" s="1">
        <f>AA319*AA320*AA321*AA322</f>
        <v>5.6331356264253627E-15</v>
      </c>
      <c r="L325" s="1">
        <f>AC322+4*L312-F322</f>
        <v>171.33333333333331</v>
      </c>
      <c r="M325" s="1">
        <f>B325*C325*AH319+E325*F325*AH320+H325*I325*AH321+K325*L325*AH322</f>
        <v>6.0366127926714589E-6</v>
      </c>
      <c r="O325" s="1" t="s">
        <v>27</v>
      </c>
      <c r="P325" s="1">
        <f>2*H310</f>
        <v>3640</v>
      </c>
      <c r="Q325" s="1">
        <f>(K319*(1-P319)*(1-U319)*(1-Z319))+(P319*(1-K319)*(1-U319)*(1-Z319))+(U319*(1-K319)*(1-P319)*(1-Z319))+(Z319*(1-K319)*(1-P319)*(1-U319))</f>
        <v>0.19389466846386108</v>
      </c>
      <c r="R325" s="1">
        <f>Q325*(L$7*(J$5*K$5+L$5)+I$5)</f>
        <v>6833.8175900087836</v>
      </c>
    </row>
    <row r="326" spans="1:34" ht="24.75" x14ac:dyDescent="0.25">
      <c r="A326" s="62" t="s">
        <v>52</v>
      </c>
      <c r="B326" s="1">
        <f>AB319</f>
        <v>0.99999814564846767</v>
      </c>
      <c r="C326" s="59">
        <f>MAX(AC319-F319,0)</f>
        <v>0</v>
      </c>
      <c r="D326" s="62" t="s">
        <v>56</v>
      </c>
      <c r="E326" s="1">
        <f>AA319*AB320+AA320*AB319</f>
        <v>1.0175999298198595E-3</v>
      </c>
      <c r="F326" s="1">
        <f>MAX(AC320+1*L312-F320,0)</f>
        <v>68</v>
      </c>
      <c r="G326" s="62" t="s">
        <v>60</v>
      </c>
      <c r="H326" s="1">
        <f>AA319*AA320*AB321+AA320*AA321*AB319+AA319*AA321*AB320</f>
        <v>5.8439101564601465E-7</v>
      </c>
      <c r="I326" s="1">
        <f>AC321+2*L312-F321</f>
        <v>114.66666666666666</v>
      </c>
      <c r="J326" s="62" t="s">
        <v>59</v>
      </c>
      <c r="K326">
        <f>AB319*AA320*AA321*AA322+AB320*AA319*AA321*AA322*+AB321*AA319*AA320*AA322+AB322*AA319*AA320*AA321</f>
        <v>3.0388596872022155E-9</v>
      </c>
      <c r="L326" s="1">
        <f>AC322+3*L312-F322</f>
        <v>159.33333333333331</v>
      </c>
      <c r="M326" s="1">
        <f>B326*C326*AH319+E326*F326*AH320+H326*I326*AH321+K326*L326*AH322</f>
        <v>2.7724026467759182</v>
      </c>
      <c r="O326" s="1" t="s">
        <v>28</v>
      </c>
      <c r="P326" s="1">
        <f>2*H311</f>
        <v>5440</v>
      </c>
      <c r="Q326" s="1">
        <f t="shared" ref="Q326:Q328" si="34">(K320*(1-P320)*(1-U320)*(1-Z320))+(P320*(1-K320)*(1-U320)*(1-Z320))+(U320*(1-K320)*(1-P320)*(1-Z320))+(Z320*(1-K320)*(1-P320)*(1-U320))</f>
        <v>0.47164531059336612</v>
      </c>
      <c r="R326" s="1">
        <f t="shared" ref="R326:R328" si="35">Q326*(L$7*(J$5*K$5+L$5)+I$5)</f>
        <v>16623.138971863187</v>
      </c>
    </row>
    <row r="327" spans="1:34" ht="24.75" x14ac:dyDescent="0.25">
      <c r="A327" s="1"/>
      <c r="B327" s="1"/>
      <c r="C327" s="1"/>
      <c r="D327" s="62" t="s">
        <v>52</v>
      </c>
      <c r="E327" s="1">
        <f>AB319*AB320</f>
        <v>0.99898239818662371</v>
      </c>
      <c r="F327" s="59">
        <f>MAX(AC320-F320,0)</f>
        <v>56</v>
      </c>
      <c r="G327" s="62" t="s">
        <v>56</v>
      </c>
      <c r="H327" s="1">
        <f>AA319*AB320*AB321+AA320*AB319*AB321*+AA321*AB319*AB320</f>
        <v>2.4319314986030672E-6</v>
      </c>
      <c r="I327" s="1">
        <f>AC321+1*L312-F321</f>
        <v>102.66666666666666</v>
      </c>
      <c r="J327" s="62" t="s">
        <v>60</v>
      </c>
      <c r="K327" s="1">
        <f>AA319*AA320*AB321*AB322 + AA319*AA321*AB320*AB322 + AA319*AA322*AB320*AB321 + AA320*AA321*AB319*AB322 + AA320*AA322*AB319*AB321 + AA321*AA322*AB319*AB320</f>
        <v>8.8824132791711196E-6</v>
      </c>
      <c r="L327" s="1">
        <f>AC322+2*L312-F322</f>
        <v>147.33333333333331</v>
      </c>
      <c r="M327" s="1">
        <f>B327*C327*AH319+E327*F327*AH320+H327*I327*AH321+K327*L327*AH322</f>
        <v>2237.8485378064715</v>
      </c>
      <c r="O327" s="1" t="s">
        <v>29</v>
      </c>
      <c r="P327" s="1">
        <f>2*(F312*(J310*K310+L310)+H312)</f>
        <v>28200</v>
      </c>
      <c r="Q327" s="1">
        <f t="shared" si="34"/>
        <v>0.45610321090539196</v>
      </c>
      <c r="R327" s="1">
        <f t="shared" si="35"/>
        <v>16075.357668360541</v>
      </c>
    </row>
    <row r="328" spans="1:34" ht="24.75" x14ac:dyDescent="0.25">
      <c r="A328" s="1"/>
      <c r="B328" s="1"/>
      <c r="C328" s="1"/>
      <c r="D328" s="1"/>
      <c r="E328" s="1"/>
      <c r="F328" s="1"/>
      <c r="G328" s="62" t="s">
        <v>52</v>
      </c>
      <c r="H328" s="1">
        <f>AB319*AB320*AB321</f>
        <v>0.99841054695245446</v>
      </c>
      <c r="I328" s="63">
        <f>AC321-F321</f>
        <v>90.666666666666657</v>
      </c>
      <c r="J328" s="62" t="s">
        <v>56</v>
      </c>
      <c r="K328" s="1">
        <f>AA319*AB320*AB321*AB322+AA320*AB319*AB321*AB322+AA321*AB319*AB320*AB322+AA322*AB319*AB320*AB321</f>
        <v>6.7967830474072984E-3</v>
      </c>
      <c r="L328" s="1">
        <f>AC322+1*L312-F322</f>
        <v>135.33333333333331</v>
      </c>
      <c r="M328" s="1">
        <f>B328*C328*AH319+E328*F328*AH320+H328*I328*AH321+K328*L328*AH322</f>
        <v>6143.1969302091848</v>
      </c>
      <c r="O328" s="1" t="s">
        <v>30</v>
      </c>
      <c r="P328" s="1">
        <v>0</v>
      </c>
      <c r="Q328" s="1">
        <f t="shared" si="34"/>
        <v>0.45510003424021006</v>
      </c>
      <c r="R328" s="1">
        <f t="shared" si="35"/>
        <v>16040.000706796203</v>
      </c>
    </row>
    <row r="329" spans="1:34" ht="30" x14ac:dyDescent="0.25">
      <c r="I329" s="84"/>
      <c r="J329" s="62" t="s">
        <v>52</v>
      </c>
      <c r="K329" s="85">
        <f>AB319*AB320*AB321*AB322</f>
        <v>0.99319433148507297</v>
      </c>
      <c r="L329" s="1">
        <f>AC322+0*L312-F322</f>
        <v>123.33333333333331</v>
      </c>
      <c r="M329" s="1">
        <f>B329*C329*AH319+E329*F329*AH320+H329*I329*AH321+K329*L329*AH322</f>
        <v>10411.98724173518</v>
      </c>
      <c r="O329" s="64" t="s">
        <v>65</v>
      </c>
      <c r="P329" s="65">
        <f>SUM(P325:P328)</f>
        <v>37280</v>
      </c>
      <c r="Q329" s="96" t="s">
        <v>108</v>
      </c>
      <c r="R329" s="97">
        <f>SUM(R325:R328)</f>
        <v>55572.314937028714</v>
      </c>
    </row>
    <row r="330" spans="1:34" x14ac:dyDescent="0.25">
      <c r="L330" s="176" t="s">
        <v>63</v>
      </c>
      <c r="M330" s="177">
        <f>SUM(M325:M329)</f>
        <v>18795.805118434226</v>
      </c>
    </row>
    <row r="331" spans="1:34" x14ac:dyDescent="0.25">
      <c r="L331" s="176"/>
      <c r="M331" s="177"/>
    </row>
    <row r="332" spans="1:34" x14ac:dyDescent="0.25">
      <c r="A332" s="178" t="s">
        <v>90</v>
      </c>
      <c r="B332" s="178"/>
      <c r="C332" s="178"/>
      <c r="D332" s="178"/>
      <c r="E332" s="178"/>
      <c r="F332" s="178"/>
      <c r="G332" s="178"/>
      <c r="H332" s="178"/>
      <c r="I332" s="178"/>
      <c r="J332" s="178"/>
      <c r="K332" s="178"/>
      <c r="L332" s="178"/>
      <c r="M332" s="178"/>
      <c r="N332" s="178"/>
    </row>
    <row r="333" spans="1:34" ht="15.75" x14ac:dyDescent="0.25">
      <c r="A333" s="87" t="s">
        <v>77</v>
      </c>
      <c r="B333" s="62" t="s">
        <v>49</v>
      </c>
      <c r="C333" s="90" t="s">
        <v>78</v>
      </c>
      <c r="D333" s="62" t="s">
        <v>88</v>
      </c>
      <c r="E333" s="87" t="s">
        <v>75</v>
      </c>
      <c r="F333" s="62" t="s">
        <v>57</v>
      </c>
      <c r="G333" s="90" t="s">
        <v>87</v>
      </c>
      <c r="H333" s="62" t="s">
        <v>88</v>
      </c>
      <c r="I333" s="87" t="s">
        <v>76</v>
      </c>
      <c r="J333" s="62" t="s">
        <v>61</v>
      </c>
      <c r="K333" s="90" t="s">
        <v>102</v>
      </c>
      <c r="L333" s="62" t="s">
        <v>88</v>
      </c>
      <c r="M333" s="87" t="s">
        <v>86</v>
      </c>
      <c r="N333" s="62" t="s">
        <v>84</v>
      </c>
      <c r="O333" s="90" t="s">
        <v>103</v>
      </c>
      <c r="P333" s="62" t="s">
        <v>88</v>
      </c>
    </row>
    <row r="334" spans="1:34" ht="24.75" x14ac:dyDescent="0.25">
      <c r="A334" s="62" t="s">
        <v>51</v>
      </c>
      <c r="B334" s="86">
        <v>1.8543515323034395E-6</v>
      </c>
      <c r="C334" s="86">
        <f>AC319+1*L312</f>
        <v>67</v>
      </c>
      <c r="D334" s="86">
        <f>MAX(B334*1.5*((C334-F319)*500/2),0)</f>
        <v>0</v>
      </c>
      <c r="E334" s="62" t="s">
        <v>55</v>
      </c>
      <c r="F334" s="86">
        <v>1.8835563550791993E-9</v>
      </c>
      <c r="G334" s="86">
        <f>AC320+2*L312</f>
        <v>156</v>
      </c>
      <c r="H334" s="86">
        <f>F334*1.5*((G334-F320)*500/2+(G334-F321)*500+(G334-F322)*500)</f>
        <v>1.6528207015819975E-4</v>
      </c>
      <c r="I334" s="62" t="s">
        <v>59</v>
      </c>
      <c r="J334" s="86">
        <v>1.0782112159680446E-12</v>
      </c>
      <c r="K334" s="86">
        <f>AC321+3*L312</f>
        <v>221.66666666666666</v>
      </c>
      <c r="L334" s="86">
        <f>J334*1.5*((K334-G334)*500/2+(K334-G334)*500)</f>
        <v>7.9652853579639272E-8</v>
      </c>
      <c r="M334" s="62" t="s">
        <v>83</v>
      </c>
      <c r="N334" s="86">
        <v>5.6331356264253627E-15</v>
      </c>
      <c r="O334" s="86">
        <f>AC322+4*L312</f>
        <v>311.33333333333331</v>
      </c>
      <c r="P334" s="86">
        <f>N334*1.5*((O334-K334)*500/2)</f>
        <v>1.8941418543855278E-10</v>
      </c>
    </row>
    <row r="335" spans="1:34" ht="24.75" x14ac:dyDescent="0.25">
      <c r="A335" s="62" t="s">
        <v>52</v>
      </c>
      <c r="B335" s="86">
        <v>0.99999814564846767</v>
      </c>
      <c r="C335" s="88">
        <f>AC319</f>
        <v>55</v>
      </c>
      <c r="D335" s="86">
        <f>MAX(B335*1.5*((C335-F319)*500/2),0)</f>
        <v>0</v>
      </c>
      <c r="E335" s="62" t="s">
        <v>56</v>
      </c>
      <c r="F335" s="86">
        <v>1.0175999298198595E-3</v>
      </c>
      <c r="G335" s="86">
        <f>AC320+1*L312</f>
        <v>144</v>
      </c>
      <c r="H335" s="86">
        <f>F335*1.5*((G335-F320)*500/2+(G335-F321)*500+(G335-F322)*500)</f>
        <v>66.398395420745828</v>
      </c>
      <c r="I335" s="62" t="s">
        <v>60</v>
      </c>
      <c r="J335" s="86">
        <v>5.8439101564601465E-7</v>
      </c>
      <c r="K335" s="86">
        <f>AC321+2*L312</f>
        <v>209.66666666666666</v>
      </c>
      <c r="L335" s="86">
        <f>J335*1.5*((K335-G335)*500/2+(K335-G335)*500)</f>
        <v>4.3171886280849323E-2</v>
      </c>
      <c r="M335" s="62" t="s">
        <v>59</v>
      </c>
      <c r="N335" s="86">
        <v>3.0388596872022155E-9</v>
      </c>
      <c r="O335" s="86">
        <f>AC322+3*L312</f>
        <v>299.33333333333331</v>
      </c>
      <c r="P335" s="86">
        <f>N335*1.5*((O335-K335)*500/2)</f>
        <v>1.0218165698217449E-4</v>
      </c>
    </row>
    <row r="336" spans="1:34" x14ac:dyDescent="0.25">
      <c r="A336" s="86"/>
      <c r="B336" s="86"/>
      <c r="C336" s="89" t="s">
        <v>89</v>
      </c>
      <c r="D336" s="89">
        <f>SUM(D334:D335)</f>
        <v>0</v>
      </c>
      <c r="E336" s="62" t="s">
        <v>52</v>
      </c>
      <c r="F336" s="86">
        <v>0.99898239818662371</v>
      </c>
      <c r="G336" s="86">
        <f>AC320+0*L312</f>
        <v>132</v>
      </c>
      <c r="H336" s="86">
        <f>F336*1.5*((G336-F320)*500/2+(G336-F321)*500)</f>
        <v>48700.391911597901</v>
      </c>
      <c r="I336" s="62" t="s">
        <v>56</v>
      </c>
      <c r="J336" s="86">
        <v>2.4319314986030672E-6</v>
      </c>
      <c r="K336" s="86">
        <f>AC321+1*L312</f>
        <v>197.66666666666666</v>
      </c>
      <c r="L336" s="86">
        <f>J336*1.5*((K336-G336)*500/2+(K336-F322)*500)</f>
        <v>0.16506735046768317</v>
      </c>
      <c r="M336" s="62" t="s">
        <v>60</v>
      </c>
      <c r="N336" s="86">
        <v>8.8824132791711196E-6</v>
      </c>
      <c r="O336" s="86">
        <f>AC322+2*L312</f>
        <v>287.33333333333331</v>
      </c>
      <c r="P336" s="86">
        <f>N336*1.5*((O336-K336)*500/2)</f>
        <v>0.29867114651212884</v>
      </c>
    </row>
    <row r="337" spans="1:22" x14ac:dyDescent="0.25">
      <c r="A337" s="86"/>
      <c r="B337" s="86"/>
      <c r="C337" s="86"/>
      <c r="D337" s="86"/>
      <c r="E337" s="86"/>
      <c r="F337" s="86"/>
      <c r="G337" s="89" t="s">
        <v>79</v>
      </c>
      <c r="H337" s="89">
        <f>SUM(H334:H336)</f>
        <v>48766.790472300716</v>
      </c>
      <c r="I337" s="62" t="s">
        <v>52</v>
      </c>
      <c r="J337" s="86">
        <v>0.99841054695245446</v>
      </c>
      <c r="K337" s="86">
        <f>AC321+0*L312</f>
        <v>185.66666666666666</v>
      </c>
      <c r="L337" s="86">
        <f>J337*1.5*((K337-G336)*500/2+(K337-F322)*500)</f>
        <v>54288.573490539697</v>
      </c>
      <c r="M337" s="62" t="s">
        <v>56</v>
      </c>
      <c r="N337" s="86">
        <v>6.7967830474072984E-3</v>
      </c>
      <c r="O337" s="86">
        <f>AC322+1*L312</f>
        <v>275.33333333333331</v>
      </c>
      <c r="P337" s="86">
        <f>N337*1.5*((O337-K337)*500/2)</f>
        <v>228.54182996907039</v>
      </c>
    </row>
    <row r="338" spans="1:22" x14ac:dyDescent="0.25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9" t="s">
        <v>79</v>
      </c>
      <c r="L338" s="89">
        <f>SUM(L334:L337)</f>
        <v>54288.781729856099</v>
      </c>
      <c r="M338" s="62" t="s">
        <v>52</v>
      </c>
      <c r="N338" s="86">
        <v>0.99319433148507297</v>
      </c>
      <c r="O338" s="86">
        <f>AC322+0*L312</f>
        <v>263.33333333333331</v>
      </c>
      <c r="P338" s="86">
        <f>N338*1.5*((O338-K337)*500/2)</f>
        <v>28926.784904502747</v>
      </c>
      <c r="Q338" s="179" t="s">
        <v>80</v>
      </c>
      <c r="R338" s="179"/>
      <c r="S338" s="180">
        <f>D336+H337+L338+P339</f>
        <v>132211.19770995699</v>
      </c>
      <c r="T338" s="180"/>
    </row>
    <row r="339" spans="1:22" x14ac:dyDescent="0.25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9" t="s">
        <v>79</v>
      </c>
      <c r="P339" s="89">
        <f>SUM(P334:P338)</f>
        <v>29155.625507800174</v>
      </c>
      <c r="Q339" s="179"/>
      <c r="R339" s="179"/>
      <c r="S339" s="180"/>
      <c r="T339" s="180"/>
    </row>
    <row r="340" spans="1:22" x14ac:dyDescent="0.25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</row>
    <row r="341" spans="1:22" x14ac:dyDescent="0.25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</row>
    <row r="342" spans="1:22" x14ac:dyDescent="0.25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</row>
    <row r="343" spans="1:22" ht="24.75" thickBot="1" x14ac:dyDescent="0.3">
      <c r="O343" s="131" t="s">
        <v>81</v>
      </c>
      <c r="P343" s="131"/>
      <c r="Q343" s="131">
        <f>(R329+P329+M330+S338)/AC322</f>
        <v>926.04804214716432</v>
      </c>
      <c r="R343" s="131"/>
    </row>
    <row r="344" spans="1:22" x14ac:dyDescent="0.25">
      <c r="A344" s="181" t="s">
        <v>113</v>
      </c>
      <c r="B344" s="182"/>
    </row>
    <row r="345" spans="1:22" ht="15.75" thickBot="1" x14ac:dyDescent="0.3">
      <c r="A345" s="183"/>
      <c r="B345" s="184"/>
    </row>
    <row r="346" spans="1:22" ht="21" x14ac:dyDescent="0.35">
      <c r="A346" s="185" t="s">
        <v>14</v>
      </c>
      <c r="B346" s="185"/>
      <c r="C346" s="165"/>
      <c r="D346" s="165"/>
      <c r="E346" s="165"/>
      <c r="F346" s="165"/>
      <c r="G346" s="165"/>
      <c r="H346" s="165"/>
      <c r="I346" s="165"/>
      <c r="J346" s="165"/>
      <c r="K346" s="165"/>
      <c r="L346" s="165"/>
      <c r="M346" s="165"/>
      <c r="O346" s="166" t="s">
        <v>72</v>
      </c>
      <c r="P346" s="166"/>
      <c r="Q346" s="166"/>
      <c r="R346" s="166"/>
      <c r="S346" s="166"/>
      <c r="T346" s="166"/>
      <c r="U346" s="166"/>
      <c r="V346" s="166"/>
    </row>
    <row r="347" spans="1:22" ht="36" x14ac:dyDescent="0.25">
      <c r="A347" s="4" t="s">
        <v>15</v>
      </c>
      <c r="B347" s="4" t="s">
        <v>16</v>
      </c>
      <c r="C347" s="4" t="s">
        <v>31</v>
      </c>
      <c r="D347" s="6" t="s">
        <v>17</v>
      </c>
      <c r="E347" s="6" t="s">
        <v>18</v>
      </c>
      <c r="F347" s="6" t="s">
        <v>19</v>
      </c>
      <c r="G347" s="6" t="s">
        <v>20</v>
      </c>
      <c r="H347" s="6" t="s">
        <v>21</v>
      </c>
      <c r="I347" s="6" t="s">
        <v>22</v>
      </c>
      <c r="J347" s="6" t="s">
        <v>23</v>
      </c>
      <c r="K347" s="6" t="s">
        <v>24</v>
      </c>
      <c r="L347" s="6" t="s">
        <v>25</v>
      </c>
      <c r="M347" s="6" t="s">
        <v>26</v>
      </c>
      <c r="N347" s="8"/>
      <c r="O347" s="167" t="s">
        <v>32</v>
      </c>
      <c r="P347" s="167" t="s">
        <v>35</v>
      </c>
      <c r="Q347" s="167" t="s">
        <v>66</v>
      </c>
      <c r="R347" s="99" t="s">
        <v>67</v>
      </c>
      <c r="S347" s="99" t="s">
        <v>68</v>
      </c>
      <c r="T347" s="167" t="s">
        <v>69</v>
      </c>
      <c r="U347" s="71" t="s">
        <v>33</v>
      </c>
      <c r="V347" s="99" t="s">
        <v>70</v>
      </c>
    </row>
    <row r="348" spans="1:22" x14ac:dyDescent="0.25">
      <c r="A348" s="3" t="s">
        <v>27</v>
      </c>
      <c r="B348" s="3">
        <v>0</v>
      </c>
      <c r="C348" s="3">
        <v>0.3</v>
      </c>
      <c r="D348" s="3">
        <v>243</v>
      </c>
      <c r="E348" s="3">
        <v>1.73</v>
      </c>
      <c r="F348" s="3">
        <v>5</v>
      </c>
      <c r="G348" s="169">
        <v>12</v>
      </c>
      <c r="H348" s="3">
        <v>1820</v>
      </c>
      <c r="I348" s="169">
        <v>19645</v>
      </c>
      <c r="J348" s="3">
        <v>20</v>
      </c>
      <c r="K348" s="3">
        <v>40</v>
      </c>
      <c r="L348" s="3">
        <v>500</v>
      </c>
      <c r="M348" s="3">
        <v>1000</v>
      </c>
      <c r="O348" s="168"/>
      <c r="P348" s="168"/>
      <c r="Q348" s="168"/>
      <c r="R348" s="72" t="s">
        <v>71</v>
      </c>
      <c r="S348" s="72" t="s">
        <v>71</v>
      </c>
      <c r="T348" s="168"/>
      <c r="U348" s="73">
        <v>500</v>
      </c>
      <c r="V348" s="3">
        <v>1.5</v>
      </c>
    </row>
    <row r="349" spans="1:22" x14ac:dyDescent="0.25">
      <c r="A349" s="3" t="s">
        <v>28</v>
      </c>
      <c r="B349" s="3">
        <v>0</v>
      </c>
      <c r="C349" s="3">
        <v>0.3</v>
      </c>
      <c r="D349" s="3">
        <v>254</v>
      </c>
      <c r="E349" s="3">
        <v>1.88</v>
      </c>
      <c r="F349" s="3">
        <v>3</v>
      </c>
      <c r="G349" s="170"/>
      <c r="H349" s="3">
        <v>2720</v>
      </c>
      <c r="I349" s="170"/>
      <c r="J349" s="5"/>
      <c r="K349" s="5"/>
      <c r="L349" s="5"/>
      <c r="M349" s="5"/>
      <c r="O349" s="74">
        <v>1</v>
      </c>
      <c r="P349" s="74">
        <v>106</v>
      </c>
      <c r="Q349" s="74">
        <v>110</v>
      </c>
      <c r="R349" s="74">
        <v>6</v>
      </c>
      <c r="S349" s="74">
        <v>5</v>
      </c>
      <c r="T349" s="74">
        <f>R349*$U$5/60+S349</f>
        <v>55</v>
      </c>
      <c r="U349" s="75"/>
    </row>
    <row r="350" spans="1:22" x14ac:dyDescent="0.25">
      <c r="A350" s="3" t="s">
        <v>29</v>
      </c>
      <c r="B350" s="3">
        <v>0</v>
      </c>
      <c r="C350" s="3">
        <v>0.3</v>
      </c>
      <c r="D350" s="3">
        <v>143</v>
      </c>
      <c r="E350" s="3">
        <v>2.4300000000000002</v>
      </c>
      <c r="F350" s="3">
        <v>8</v>
      </c>
      <c r="G350" s="170"/>
      <c r="H350" s="3">
        <v>3700</v>
      </c>
      <c r="I350" s="170"/>
      <c r="J350" s="5"/>
      <c r="K350" s="140" t="s">
        <v>73</v>
      </c>
      <c r="L350" s="141">
        <v>12</v>
      </c>
      <c r="M350" s="140" t="s">
        <v>74</v>
      </c>
      <c r="N350" s="141">
        <v>19645</v>
      </c>
      <c r="O350" s="74">
        <v>2</v>
      </c>
      <c r="P350" s="74">
        <v>76</v>
      </c>
      <c r="Q350" s="74">
        <v>40</v>
      </c>
      <c r="R350" s="74">
        <v>9</v>
      </c>
      <c r="S350" s="74">
        <v>2</v>
      </c>
      <c r="T350" s="74">
        <f t="shared" ref="T350:T352" si="36">R350*$U$5/60+S350</f>
        <v>77</v>
      </c>
      <c r="U350" s="75"/>
    </row>
    <row r="351" spans="1:22" x14ac:dyDescent="0.25">
      <c r="A351" s="3" t="s">
        <v>30</v>
      </c>
      <c r="B351" s="3">
        <v>0</v>
      </c>
      <c r="C351" s="3">
        <v>0.3</v>
      </c>
      <c r="D351" s="3">
        <v>449</v>
      </c>
      <c r="E351" s="3">
        <v>2.5299999999999998</v>
      </c>
      <c r="F351" s="3">
        <v>4</v>
      </c>
      <c r="G351" s="171"/>
      <c r="H351" s="3">
        <v>4320</v>
      </c>
      <c r="I351" s="171"/>
      <c r="J351" s="5"/>
      <c r="K351" s="140"/>
      <c r="L351" s="141"/>
      <c r="M351" s="140"/>
      <c r="N351" s="141"/>
      <c r="O351" s="74">
        <v>3</v>
      </c>
      <c r="P351" s="74">
        <v>95</v>
      </c>
      <c r="Q351" s="74">
        <v>67</v>
      </c>
      <c r="R351" s="74">
        <v>5</v>
      </c>
      <c r="S351" s="74">
        <v>4</v>
      </c>
      <c r="T351" s="74">
        <f t="shared" si="36"/>
        <v>45.666666666666664</v>
      </c>
      <c r="U351" s="75"/>
    </row>
    <row r="352" spans="1:22" ht="15.75" thickBo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O352" s="74">
        <v>4</v>
      </c>
      <c r="P352" s="74">
        <v>140</v>
      </c>
      <c r="Q352" s="94">
        <v>85</v>
      </c>
      <c r="R352" s="94">
        <v>8</v>
      </c>
      <c r="S352" s="94">
        <v>3</v>
      </c>
      <c r="T352" s="74">
        <f t="shared" si="36"/>
        <v>69.666666666666671</v>
      </c>
    </row>
    <row r="353" spans="1:34" ht="15" customHeight="1" x14ac:dyDescent="0.25">
      <c r="A353" s="172" t="s">
        <v>104</v>
      </c>
      <c r="B353" s="144" t="s">
        <v>105</v>
      </c>
      <c r="C353" s="144"/>
      <c r="D353" s="144"/>
      <c r="E353" s="144"/>
      <c r="F353" s="20" t="s">
        <v>27</v>
      </c>
      <c r="G353" s="20" t="s">
        <v>28</v>
      </c>
      <c r="H353" s="20" t="s">
        <v>29</v>
      </c>
      <c r="I353" s="20" t="s">
        <v>30</v>
      </c>
    </row>
    <row r="354" spans="1:34" ht="15.75" customHeight="1" thickBot="1" x14ac:dyDescent="0.3">
      <c r="A354" s="173"/>
      <c r="B354" s="145"/>
      <c r="C354" s="145"/>
      <c r="D354" s="145"/>
      <c r="E354" s="145"/>
      <c r="F354" s="20">
        <v>84</v>
      </c>
      <c r="G354" s="26">
        <v>84</v>
      </c>
      <c r="H354" s="26">
        <v>84</v>
      </c>
      <c r="I354" s="26">
        <v>252</v>
      </c>
    </row>
    <row r="355" spans="1:34" ht="15.75" customHeight="1" thickBot="1" x14ac:dyDescent="0.3">
      <c r="A355" s="173"/>
      <c r="B355" s="145"/>
      <c r="C355" s="145"/>
      <c r="D355" s="145"/>
      <c r="E355" s="145"/>
      <c r="F355" s="7"/>
      <c r="G355" s="146" t="s">
        <v>27</v>
      </c>
      <c r="H355" s="147"/>
      <c r="I355" s="147"/>
      <c r="J355" s="147"/>
      <c r="K355" s="148"/>
      <c r="L355" s="149" t="s">
        <v>28</v>
      </c>
      <c r="M355" s="150"/>
      <c r="N355" s="150"/>
      <c r="O355" s="150"/>
      <c r="P355" s="151"/>
      <c r="Q355" s="152" t="s">
        <v>29</v>
      </c>
      <c r="R355" s="153"/>
      <c r="S355" s="153"/>
      <c r="T355" s="153"/>
      <c r="U355" s="154"/>
      <c r="V355" s="155" t="s">
        <v>30</v>
      </c>
      <c r="W355" s="156"/>
      <c r="X355" s="156"/>
      <c r="Y355" s="156"/>
      <c r="Z355" s="157"/>
      <c r="AA355" s="158" t="s">
        <v>42</v>
      </c>
      <c r="AB355" s="159"/>
      <c r="AC355" s="160" t="s">
        <v>44</v>
      </c>
      <c r="AD355" s="162" t="s">
        <v>47</v>
      </c>
      <c r="AE355" s="163"/>
      <c r="AF355" s="163"/>
      <c r="AG355" s="164"/>
      <c r="AH355" s="138" t="s">
        <v>62</v>
      </c>
    </row>
    <row r="356" spans="1:34" ht="36.75" x14ac:dyDescent="0.25">
      <c r="A356" s="21" t="s">
        <v>32</v>
      </c>
      <c r="B356" s="22" t="s">
        <v>37</v>
      </c>
      <c r="C356" s="23" t="s">
        <v>33</v>
      </c>
      <c r="D356" s="22" t="s">
        <v>38</v>
      </c>
      <c r="E356" s="22" t="s">
        <v>34</v>
      </c>
      <c r="F356" s="25" t="s">
        <v>35</v>
      </c>
      <c r="G356" s="27" t="s">
        <v>39</v>
      </c>
      <c r="H356" s="10" t="s">
        <v>40</v>
      </c>
      <c r="I356" s="10" t="s">
        <v>45</v>
      </c>
      <c r="J356" s="10" t="s">
        <v>46</v>
      </c>
      <c r="K356" s="28" t="s">
        <v>41</v>
      </c>
      <c r="L356" s="30" t="s">
        <v>39</v>
      </c>
      <c r="M356" s="13" t="s">
        <v>40</v>
      </c>
      <c r="N356" s="13" t="s">
        <v>45</v>
      </c>
      <c r="O356" s="13" t="s">
        <v>46</v>
      </c>
      <c r="P356" s="31" t="s">
        <v>41</v>
      </c>
      <c r="Q356" s="33" t="s">
        <v>39</v>
      </c>
      <c r="R356" s="12" t="s">
        <v>40</v>
      </c>
      <c r="S356" s="12" t="s">
        <v>45</v>
      </c>
      <c r="T356" s="12" t="s">
        <v>46</v>
      </c>
      <c r="U356" s="34" t="s">
        <v>41</v>
      </c>
      <c r="V356" s="36" t="s">
        <v>39</v>
      </c>
      <c r="W356" s="11" t="s">
        <v>40</v>
      </c>
      <c r="X356" s="11" t="s">
        <v>45</v>
      </c>
      <c r="Y356" s="11" t="s">
        <v>46</v>
      </c>
      <c r="Z356" s="37" t="s">
        <v>41</v>
      </c>
      <c r="AA356" s="39" t="s">
        <v>41</v>
      </c>
      <c r="AB356" s="40" t="s">
        <v>43</v>
      </c>
      <c r="AC356" s="161"/>
      <c r="AD356" s="43" t="s">
        <v>27</v>
      </c>
      <c r="AE356" s="1" t="s">
        <v>28</v>
      </c>
      <c r="AF356" s="1" t="s">
        <v>29</v>
      </c>
      <c r="AG356" s="1" t="s">
        <v>30</v>
      </c>
      <c r="AH356" s="139"/>
    </row>
    <row r="357" spans="1:34" x14ac:dyDescent="0.25">
      <c r="A357" s="24">
        <v>1</v>
      </c>
      <c r="B357" s="9">
        <v>6</v>
      </c>
      <c r="C357" s="9">
        <v>500</v>
      </c>
      <c r="D357" s="9">
        <v>5</v>
      </c>
      <c r="E357" s="48">
        <f>B357*C357/60+D357</f>
        <v>55</v>
      </c>
      <c r="F357" s="100">
        <v>106</v>
      </c>
      <c r="G357" s="49">
        <f>B$5*(1-AD357*C$5)</f>
        <v>0</v>
      </c>
      <c r="H357" s="50">
        <f>G357+E357</f>
        <v>55</v>
      </c>
      <c r="I357" s="15">
        <f>(H357/D$5)^E$5</f>
        <v>7.6511831764011648E-2</v>
      </c>
      <c r="J357" s="15">
        <f>(G357/D$5)^E$5</f>
        <v>0</v>
      </c>
      <c r="K357" s="29">
        <f>1-EXP(J357-I357)</f>
        <v>7.3658046035411151E-2</v>
      </c>
      <c r="L357" s="51">
        <f>B$6*(1-AE357*C$6)</f>
        <v>0</v>
      </c>
      <c r="M357" s="52">
        <f>L357+E357</f>
        <v>55</v>
      </c>
      <c r="N357" s="17">
        <f>(M357/D$6)^E$6</f>
        <v>5.633709759436846E-2</v>
      </c>
      <c r="O357" s="17">
        <f>(L357/D$6)^E$6</f>
        <v>0</v>
      </c>
      <c r="P357" s="32">
        <f>1-EXP(O357-N357)</f>
        <v>5.4779549360660096E-2</v>
      </c>
      <c r="Q357" s="53">
        <f>B$7*(1-AF357*C$7)</f>
        <v>0</v>
      </c>
      <c r="R357" s="54">
        <f>Q357+E357</f>
        <v>55</v>
      </c>
      <c r="S357" s="16">
        <f>(R357/D$7)^E$7</f>
        <v>9.8087748172662498E-2</v>
      </c>
      <c r="T357" s="16">
        <f>(Q357/D$7)^E$7</f>
        <v>0</v>
      </c>
      <c r="U357" s="35">
        <f>1-EXP(T357-S357)</f>
        <v>9.3430649540250821E-2</v>
      </c>
      <c r="V357" s="55">
        <f>B$8*(1-AG357*C$8)</f>
        <v>0</v>
      </c>
      <c r="W357" s="56">
        <f>V357+E357</f>
        <v>55</v>
      </c>
      <c r="X357" s="18">
        <f>(W357/D$8)^E$8</f>
        <v>4.9309927237744132E-3</v>
      </c>
      <c r="Y357" s="18">
        <f>(V357/D$8)^E$8</f>
        <v>0</v>
      </c>
      <c r="Z357" s="38">
        <f>1-EXP(Y357-X357)</f>
        <v>4.9188553371368737E-3</v>
      </c>
      <c r="AA357" s="41">
        <f>K357*P357*U357*Z357</f>
        <v>1.8543515323034395E-6</v>
      </c>
      <c r="AB357" s="42">
        <f>1-AA357</f>
        <v>0.99999814564846767</v>
      </c>
      <c r="AC357" s="47">
        <f>(AD357*F$5+AE357*F$6+AF357*F$7+AG357*F$8)+E357</f>
        <v>55</v>
      </c>
      <c r="AD357" s="43">
        <v>0</v>
      </c>
      <c r="AE357" s="1">
        <v>0</v>
      </c>
      <c r="AF357" s="1">
        <v>0</v>
      </c>
      <c r="AG357" s="1">
        <v>0</v>
      </c>
      <c r="AH357" s="74">
        <v>110</v>
      </c>
    </row>
    <row r="358" spans="1:34" x14ac:dyDescent="0.25">
      <c r="A358" s="76">
        <v>2</v>
      </c>
      <c r="B358" s="58">
        <v>9</v>
      </c>
      <c r="C358" s="9">
        <v>500</v>
      </c>
      <c r="D358" s="58">
        <v>2</v>
      </c>
      <c r="E358" s="48">
        <f t="shared" ref="E358:E360" si="37">B358*C358/60+D358</f>
        <v>77</v>
      </c>
      <c r="F358" s="100">
        <v>76</v>
      </c>
      <c r="G358" s="49">
        <f>H357*(1-AD358*C$5)</f>
        <v>55</v>
      </c>
      <c r="H358" s="50">
        <f>G358+E358</f>
        <v>132</v>
      </c>
      <c r="I358" s="15">
        <f>(H358/D$5)^E$5</f>
        <v>0.34793173894508389</v>
      </c>
      <c r="J358" s="15">
        <f>(G358/D$5)^E$5</f>
        <v>7.6511831764011648E-2</v>
      </c>
      <c r="K358" s="29">
        <f>1-EXP(J358-I358)</f>
        <v>0.23770366451454039</v>
      </c>
      <c r="L358" s="51">
        <f>M357*(1-AE358*C$6)</f>
        <v>55</v>
      </c>
      <c r="M358" s="52">
        <f>L358+E358</f>
        <v>132</v>
      </c>
      <c r="N358" s="17">
        <f>(M358/D$6)^E$6</f>
        <v>0.29214038913862722</v>
      </c>
      <c r="O358" s="17">
        <f>(L358/D$6)^E$6</f>
        <v>5.633709759436846E-2</v>
      </c>
      <c r="P358" s="32">
        <f>1-EXP(O358-N358)</f>
        <v>0.21006395424947955</v>
      </c>
      <c r="Q358" s="53">
        <f>R357*(1-AF358*C$7)</f>
        <v>55</v>
      </c>
      <c r="R358" s="54">
        <f>Q358+E358</f>
        <v>132</v>
      </c>
      <c r="S358" s="16">
        <f>(R358/D$7)^E$7</f>
        <v>0.82324306668270808</v>
      </c>
      <c r="T358" s="16">
        <f>(Q358/D$7)^E$7</f>
        <v>9.8087748172662498E-2</v>
      </c>
      <c r="U358" s="35">
        <f>1-EXP(T358-S358)</f>
        <v>0.5157506497734845</v>
      </c>
      <c r="V358" s="55">
        <f>W357*(1-AG358*C$8)</f>
        <v>55</v>
      </c>
      <c r="W358" s="56">
        <f>V358+E358</f>
        <v>132</v>
      </c>
      <c r="X358" s="18">
        <f>(W358/D$8)^E$8</f>
        <v>4.5171946303006208E-2</v>
      </c>
      <c r="Y358" s="18">
        <f>(V358/D$8)^E$8</f>
        <v>4.9309927237744132E-3</v>
      </c>
      <c r="Z358" s="38">
        <f>1-EXP(Y358-X358)</f>
        <v>3.9442038613110686E-2</v>
      </c>
      <c r="AA358" s="41">
        <f>K358*P358*U358*Z358</f>
        <v>1.0157493454002661E-3</v>
      </c>
      <c r="AB358" s="42">
        <f>1-AA358</f>
        <v>0.99898425065459973</v>
      </c>
      <c r="AC358" s="47">
        <f>AF358*F$7+E358+AC357</f>
        <v>132</v>
      </c>
      <c r="AD358" s="43">
        <v>0</v>
      </c>
      <c r="AE358" s="1">
        <v>0</v>
      </c>
      <c r="AF358" s="1">
        <v>0</v>
      </c>
      <c r="AG358" s="1">
        <v>0</v>
      </c>
      <c r="AH358" s="74">
        <v>40</v>
      </c>
    </row>
    <row r="359" spans="1:34" x14ac:dyDescent="0.25">
      <c r="A359" s="24">
        <v>4</v>
      </c>
      <c r="B359" s="9">
        <v>8</v>
      </c>
      <c r="C359" s="58">
        <v>500</v>
      </c>
      <c r="D359" s="58">
        <v>3</v>
      </c>
      <c r="E359" s="48">
        <f t="shared" si="37"/>
        <v>69.666666666666671</v>
      </c>
      <c r="F359" s="100">
        <v>140</v>
      </c>
      <c r="G359" s="68">
        <f>H358*(1-AD359*C$5)</f>
        <v>92.399999999999991</v>
      </c>
      <c r="H359" s="69">
        <f>G359+E359</f>
        <v>162.06666666666666</v>
      </c>
      <c r="I359" s="70">
        <f>(H359/D$5)^E$5</f>
        <v>0.49621655271682308</v>
      </c>
      <c r="J359" s="70">
        <f>(G359/D$5)^E$5</f>
        <v>0.18772134485664987</v>
      </c>
      <c r="K359" s="29">
        <f>1-EXP(J359-I359)</f>
        <v>0.26544852773589911</v>
      </c>
      <c r="L359" s="51">
        <f>M358*(1-AE359*C$6)</f>
        <v>92.399999999999991</v>
      </c>
      <c r="M359" s="52">
        <f>L359+E359</f>
        <v>162.06666666666666</v>
      </c>
      <c r="N359" s="17">
        <f>(M359/D$6)^E$6</f>
        <v>0.42967171801167126</v>
      </c>
      <c r="O359" s="17">
        <f>(L359/D$6)^E$6</f>
        <v>0.14940871089337018</v>
      </c>
      <c r="P359" s="32">
        <f>1-EXP(O359-N359)</f>
        <v>0.24441500891064738</v>
      </c>
      <c r="Q359" s="53">
        <f>R358*(1-AF359*C$7)</f>
        <v>92.399999999999991</v>
      </c>
      <c r="R359" s="54">
        <f>Q359+E359</f>
        <v>162.06666666666666</v>
      </c>
      <c r="S359" s="16">
        <f>(R359/D$7)^E$7</f>
        <v>1.3554675326688883</v>
      </c>
      <c r="T359" s="16">
        <f>(Q359/D$7)^E$7</f>
        <v>0.34603204471909926</v>
      </c>
      <c r="U359" s="35">
        <f>1-EXP(T359-S359)</f>
        <v>0.63557535638113816</v>
      </c>
      <c r="V359" s="55">
        <f>W358*(1-AG359*C$8)</f>
        <v>132</v>
      </c>
      <c r="W359" s="56">
        <f>V359+E359</f>
        <v>201.66666666666669</v>
      </c>
      <c r="X359" s="18">
        <f>(W359/D$8)^E$8</f>
        <v>0.13199001575183039</v>
      </c>
      <c r="Y359" s="18">
        <f>(V359/D$8)^E$8</f>
        <v>4.5171946303006208E-2</v>
      </c>
      <c r="Z359" s="38">
        <f>1-EXP(Y359-X359)</f>
        <v>8.3156117626247084E-2</v>
      </c>
      <c r="AA359" s="41">
        <f>K359*P359*U359*Z359</f>
        <v>3.4290154887069279E-3</v>
      </c>
      <c r="AB359" s="42">
        <f>1-AA359</f>
        <v>0.99657098451129311</v>
      </c>
      <c r="AC359" s="47">
        <f>(AF359*F$7)+E359+AC358</f>
        <v>209.66666666666669</v>
      </c>
      <c r="AD359" s="77">
        <v>1</v>
      </c>
      <c r="AE359" s="78">
        <v>1</v>
      </c>
      <c r="AF359" s="78">
        <v>1</v>
      </c>
      <c r="AG359" s="78">
        <v>0</v>
      </c>
      <c r="AH359" s="74">
        <v>85</v>
      </c>
    </row>
    <row r="360" spans="1:34" ht="15.75" thickBot="1" x14ac:dyDescent="0.3">
      <c r="A360" s="57">
        <v>3</v>
      </c>
      <c r="B360" s="58">
        <v>5</v>
      </c>
      <c r="C360" s="58">
        <v>500</v>
      </c>
      <c r="D360" s="9">
        <v>4</v>
      </c>
      <c r="E360" s="48">
        <f t="shared" si="37"/>
        <v>45.666666666666664</v>
      </c>
      <c r="F360" s="100">
        <v>95</v>
      </c>
      <c r="G360" s="68">
        <f>H359*(1-AD360*C$5)</f>
        <v>113.44666666666666</v>
      </c>
      <c r="H360" s="69">
        <f>G360+E360</f>
        <v>159.11333333333332</v>
      </c>
      <c r="I360" s="70">
        <f>(H360/D$5)^E$5</f>
        <v>0.48067719678878712</v>
      </c>
      <c r="J360" s="70">
        <f>(G360/D$5)^E$5</f>
        <v>0.26772618933403824</v>
      </c>
      <c r="K360" s="29">
        <f>1-EXP(J360-I360)</f>
        <v>0.19180426818747698</v>
      </c>
      <c r="L360" s="51">
        <f>M359*(1-AE360*C$6)</f>
        <v>113.44666666666666</v>
      </c>
      <c r="M360" s="52">
        <f>L360+E360</f>
        <v>159.11333333333332</v>
      </c>
      <c r="N360" s="17">
        <f>(M360/D$6)^E$6</f>
        <v>0.41506964346675868</v>
      </c>
      <c r="O360" s="17">
        <f>(L360/D$6)^E$6</f>
        <v>0.21974605320663379</v>
      </c>
      <c r="P360" s="32">
        <f>1-EXP(O360-N360)</f>
        <v>0.17743156014988948</v>
      </c>
      <c r="Q360" s="53">
        <f>R359*(1-AF360*C$7)</f>
        <v>113.44666666666666</v>
      </c>
      <c r="R360" s="54">
        <f>Q360+E360</f>
        <v>159.11333333333332</v>
      </c>
      <c r="S360" s="16">
        <f>(R360/D$7)^E$7</f>
        <v>1.2962250315687902</v>
      </c>
      <c r="T360" s="16">
        <f>(Q360/D$7)^E$7</f>
        <v>0.56974084673408143</v>
      </c>
      <c r="U360" s="35">
        <f>1-EXP(T360-S360)</f>
        <v>0.51639372505256609</v>
      </c>
      <c r="V360" s="55">
        <f>W359*(1-AG360*C$8)</f>
        <v>201.66666666666669</v>
      </c>
      <c r="W360" s="56">
        <f>V360+E360</f>
        <v>247.33333333333334</v>
      </c>
      <c r="X360" s="18">
        <f>(W360/D$8)^E$8</f>
        <v>0.22121871391987213</v>
      </c>
      <c r="Y360" s="18">
        <f>(V360/D$8)^E$8</f>
        <v>0.13199001575183039</v>
      </c>
      <c r="Z360" s="38">
        <f>1-EXP(Y360-X360)</f>
        <v>8.5363626009572924E-2</v>
      </c>
      <c r="AA360" s="41">
        <f>K360*P360*U360*Z360</f>
        <v>1.5001785422687859E-3</v>
      </c>
      <c r="AB360" s="42">
        <f>1-AA360</f>
        <v>0.9984998214577312</v>
      </c>
      <c r="AC360" s="47">
        <f>(AF360*F$7)+E360+AC359</f>
        <v>263.33333333333337</v>
      </c>
      <c r="AD360" s="80">
        <v>1</v>
      </c>
      <c r="AE360" s="45">
        <v>1</v>
      </c>
      <c r="AF360" s="81">
        <v>1</v>
      </c>
      <c r="AG360" s="45">
        <v>0</v>
      </c>
      <c r="AH360" s="94">
        <v>67</v>
      </c>
    </row>
    <row r="361" spans="1:34" ht="18.75" x14ac:dyDescent="0.3">
      <c r="A361" s="132" t="s">
        <v>53</v>
      </c>
      <c r="B361" s="132"/>
      <c r="C361" s="132"/>
      <c r="D361" s="132"/>
      <c r="E361" s="132"/>
      <c r="F361" s="132"/>
      <c r="G361" s="132"/>
      <c r="H361" s="132"/>
      <c r="I361" s="132"/>
      <c r="J361" s="132"/>
      <c r="AG361" s="46"/>
    </row>
    <row r="362" spans="1:34" ht="15.75" x14ac:dyDescent="0.25">
      <c r="A362" s="19" t="s">
        <v>58</v>
      </c>
      <c r="B362" s="60" t="s">
        <v>49</v>
      </c>
      <c r="C362" s="61" t="s">
        <v>50</v>
      </c>
      <c r="D362" s="19" t="s">
        <v>48</v>
      </c>
      <c r="E362" s="60" t="s">
        <v>57</v>
      </c>
      <c r="F362" s="61" t="s">
        <v>50</v>
      </c>
      <c r="G362" s="19" t="s">
        <v>82</v>
      </c>
      <c r="H362" s="60" t="s">
        <v>61</v>
      </c>
      <c r="I362" s="61" t="s">
        <v>50</v>
      </c>
      <c r="J362" s="19" t="s">
        <v>54</v>
      </c>
      <c r="K362" s="83" t="s">
        <v>84</v>
      </c>
      <c r="L362" s="61" t="s">
        <v>50</v>
      </c>
      <c r="M362" s="61" t="s">
        <v>85</v>
      </c>
      <c r="O362" s="174" t="s">
        <v>64</v>
      </c>
      <c r="P362" s="174"/>
      <c r="Q362" s="175" t="s">
        <v>109</v>
      </c>
      <c r="R362" s="175"/>
    </row>
    <row r="363" spans="1:34" ht="24.75" x14ac:dyDescent="0.25">
      <c r="A363" s="61" t="s">
        <v>51</v>
      </c>
      <c r="B363" s="1">
        <f>AA357</f>
        <v>1.8543515323034395E-6</v>
      </c>
      <c r="C363" s="59">
        <f>MAX(AC357+1*L350-F357,0)</f>
        <v>0</v>
      </c>
      <c r="D363" s="62" t="s">
        <v>55</v>
      </c>
      <c r="E363" s="1">
        <f>AA357*AA358</f>
        <v>1.8835563550791993E-9</v>
      </c>
      <c r="F363" s="1">
        <f>MAX(AC358+2*L350-F358,0)</f>
        <v>80</v>
      </c>
      <c r="G363" s="62" t="s">
        <v>59</v>
      </c>
      <c r="H363" s="1">
        <f>AA357*AA358*AA359</f>
        <v>6.4587439154189405E-12</v>
      </c>
      <c r="I363" s="1">
        <f>AC359+3*L350-F359</f>
        <v>105.66666666666669</v>
      </c>
      <c r="J363" s="62" t="s">
        <v>83</v>
      </c>
      <c r="K363" s="1">
        <f>AA357*AA358*AA359*AA360</f>
        <v>9.6892690319205765E-15</v>
      </c>
      <c r="L363" s="1">
        <f>AC360+4*L350-F360</f>
        <v>216.33333333333337</v>
      </c>
      <c r="M363" s="1">
        <f>B363*C363*AH357+E363*F363*AH358+H363*I363*AH359+K363*L363*AH360</f>
        <v>6.085531060682197E-6</v>
      </c>
      <c r="O363" s="1" t="s">
        <v>27</v>
      </c>
      <c r="P363" s="1">
        <f>2*H348</f>
        <v>3640</v>
      </c>
      <c r="Q363" s="1">
        <f>(K357*(1-P357)*(1-U357)*(1-Z357))+(P357*(1-K357)*(1-U357)*(1-Z357))+(U357*(1-K357)*(1-P357)*(1-Z357))+(Z357*(1-K357)*(1-P357)*(1-U357))</f>
        <v>0.19389466846386108</v>
      </c>
      <c r="R363" s="1">
        <f>Q363*(L$7*(J$5*K$5+L$5)+I$5)</f>
        <v>6833.8175900087836</v>
      </c>
    </row>
    <row r="364" spans="1:34" ht="24.75" x14ac:dyDescent="0.25">
      <c r="A364" s="62" t="s">
        <v>52</v>
      </c>
      <c r="B364" s="1">
        <f>AB357</f>
        <v>0.99999814564846767</v>
      </c>
      <c r="C364" s="59">
        <f>MAX(AC357-F357,0)</f>
        <v>0</v>
      </c>
      <c r="D364" s="62" t="s">
        <v>56</v>
      </c>
      <c r="E364" s="1">
        <f>AA357*AB358+AA358*AB357</f>
        <v>1.0175999298198595E-3</v>
      </c>
      <c r="F364" s="1">
        <f>MAX(AC358+1*L350-F358,0)</f>
        <v>68</v>
      </c>
      <c r="G364" s="62" t="s">
        <v>60</v>
      </c>
      <c r="H364" s="1">
        <f>AA357*AA358*AB359+AA358*AA359*AB357+AA357*AA359*AB358</f>
        <v>3.4912430182705446E-6</v>
      </c>
      <c r="I364" s="1">
        <f>AC359+2*L350-F359</f>
        <v>93.666666666666686</v>
      </c>
      <c r="J364" s="62" t="s">
        <v>59</v>
      </c>
      <c r="K364">
        <f>AB357*AA358*AA359*AA360+AB358*AA357*AA359*AA360*+AB359*AA357*AA358*AA360+AB360*AA357*AA358*AA359</f>
        <v>5.2315915887450586E-9</v>
      </c>
      <c r="L364" s="1">
        <f>AC360+3*L350-F360</f>
        <v>204.33333333333337</v>
      </c>
      <c r="M364" s="1">
        <f>B364*C364*AH357+E364*F364*AH358+H364*I364*AH359+K364*L364*AH360</f>
        <v>2.7957395445065294</v>
      </c>
      <c r="O364" s="1" t="s">
        <v>28</v>
      </c>
      <c r="P364" s="1">
        <f>2*H349</f>
        <v>5440</v>
      </c>
      <c r="Q364" s="1">
        <f t="shared" ref="Q364:Q366" si="38">(K358*(1-P358)*(1-U358)*(1-Z358))+(P358*(1-K358)*(1-U358)*(1-Z358))+(U358*(1-K358)*(1-P358)*(1-Z358))+(Z358*(1-K358)*(1-P358)*(1-U358))</f>
        <v>0.47164531059336612</v>
      </c>
      <c r="R364" s="1">
        <f t="shared" ref="R364:R366" si="39">Q364*(L$7*(J$5*K$5+L$5)+I$5)</f>
        <v>16623.138971863187</v>
      </c>
    </row>
    <row r="365" spans="1:34" ht="24.75" x14ac:dyDescent="0.25">
      <c r="A365" s="1"/>
      <c r="B365" s="1"/>
      <c r="C365" s="1"/>
      <c r="D365" s="62" t="s">
        <v>52</v>
      </c>
      <c r="E365" s="1">
        <f>AB357*AB358</f>
        <v>0.99898239818662371</v>
      </c>
      <c r="F365" s="59">
        <f>MAX(AC358-F358,0)</f>
        <v>56</v>
      </c>
      <c r="G365" s="62" t="s">
        <v>56</v>
      </c>
      <c r="H365" s="1">
        <f>AA357*AB358*AB359+AA358*AB357*AB359*+AA359*AB357*AB358</f>
        <v>5.3136541380417697E-6</v>
      </c>
      <c r="I365" s="1">
        <f>AC359+1*L350-F359</f>
        <v>81.666666666666686</v>
      </c>
      <c r="J365" s="62" t="s">
        <v>60</v>
      </c>
      <c r="K365" s="1">
        <f>AA357*AA358*AB359*AB360 + AA357*AA359*AB358*AB360 + AA357*AA360*AB358*AB359 + AA358*AA359*AB357*AB360 + AA358*AA360*AB357*AB359 + AA359*AA360*AB357*AB358</f>
        <v>1.0146253213554248E-5</v>
      </c>
      <c r="L365" s="1">
        <f>AC360+2*L350-F360</f>
        <v>192.33333333333337</v>
      </c>
      <c r="M365" s="1">
        <f>B365*C365*AH357+E365*F365*AH358+H365*I365*AH359+K365*L365*AH360</f>
        <v>2237.8882055548397</v>
      </c>
      <c r="O365" s="1" t="s">
        <v>29</v>
      </c>
      <c r="P365" s="1">
        <f>2*(F350*(J348*K348+L348)+H350)</f>
        <v>28200</v>
      </c>
      <c r="Q365" s="1">
        <f t="shared" si="38"/>
        <v>0.46724077126636426</v>
      </c>
      <c r="R365" s="1">
        <f t="shared" si="39"/>
        <v>16467.900983283009</v>
      </c>
    </row>
    <row r="366" spans="1:34" ht="24.75" x14ac:dyDescent="0.25">
      <c r="A366" s="1"/>
      <c r="B366" s="1"/>
      <c r="C366" s="1"/>
      <c r="D366" s="1"/>
      <c r="E366" s="1"/>
      <c r="F366" s="1"/>
      <c r="G366" s="62" t="s">
        <v>52</v>
      </c>
      <c r="H366" s="1">
        <f>AB357*AB358*AB359</f>
        <v>0.99555687207029619</v>
      </c>
      <c r="I366" s="63">
        <f>AC359-F359</f>
        <v>69.666666666666686</v>
      </c>
      <c r="J366" s="62" t="s">
        <v>56</v>
      </c>
      <c r="K366" s="1">
        <f>AA357*AB358*AB359*AB360+AA358*AB357*AB359*AB360+AA359*AB357*AB358*AB360+AA360*AB357*AB358*AB359</f>
        <v>5.9264894896316686E-3</v>
      </c>
      <c r="L366" s="1">
        <f>AC360+1*L350-F360</f>
        <v>180.33333333333337</v>
      </c>
      <c r="M366" s="1">
        <f>B366*C366*AH357+E366*F366*AH358+H366*I366*AH359+K366*L366*AH360</f>
        <v>5966.9617656198325</v>
      </c>
      <c r="O366" s="1" t="s">
        <v>30</v>
      </c>
      <c r="P366" s="1">
        <v>0</v>
      </c>
      <c r="Q366" s="1">
        <f t="shared" si="38"/>
        <v>0.47465134913384505</v>
      </c>
      <c r="R366" s="1">
        <f t="shared" si="39"/>
        <v>16729.086800222369</v>
      </c>
    </row>
    <row r="367" spans="1:34" ht="30" x14ac:dyDescent="0.25">
      <c r="I367" s="84"/>
      <c r="J367" s="62" t="s">
        <v>52</v>
      </c>
      <c r="K367" s="85">
        <f>AB357*AB358*AB359*AB360</f>
        <v>0.99406335901320808</v>
      </c>
      <c r="L367" s="1">
        <f>AC360+0*L350-F360</f>
        <v>168.33333333333337</v>
      </c>
      <c r="M367" s="1">
        <f>B367*C367*AH357+E367*F367*AH358+H367*I367*AH359+K367*L367*AH360</f>
        <v>11211.377917403966</v>
      </c>
      <c r="O367" s="64" t="s">
        <v>65</v>
      </c>
      <c r="P367" s="65">
        <f>SUM(P363:P366)</f>
        <v>37280</v>
      </c>
      <c r="Q367" s="96" t="s">
        <v>108</v>
      </c>
      <c r="R367" s="97">
        <f>SUM(R363:R366)</f>
        <v>56653.944345377357</v>
      </c>
    </row>
    <row r="368" spans="1:34" x14ac:dyDescent="0.25">
      <c r="L368" s="176" t="s">
        <v>63</v>
      </c>
      <c r="M368" s="177">
        <f>SUM(M363:M367)</f>
        <v>19419.023634208676</v>
      </c>
    </row>
    <row r="369" spans="1:22" x14ac:dyDescent="0.25">
      <c r="L369" s="176"/>
      <c r="M369" s="177"/>
    </row>
    <row r="370" spans="1:22" x14ac:dyDescent="0.25">
      <c r="A370" s="178" t="s">
        <v>90</v>
      </c>
      <c r="B370" s="178"/>
      <c r="C370" s="178"/>
      <c r="D370" s="178"/>
      <c r="E370" s="178"/>
      <c r="F370" s="178"/>
      <c r="G370" s="178"/>
      <c r="H370" s="178"/>
      <c r="I370" s="178"/>
      <c r="J370" s="178"/>
      <c r="K370" s="178"/>
      <c r="L370" s="178"/>
      <c r="M370" s="178"/>
      <c r="N370" s="178"/>
    </row>
    <row r="371" spans="1:22" ht="15.75" x14ac:dyDescent="0.25">
      <c r="A371" s="87" t="s">
        <v>77</v>
      </c>
      <c r="B371" s="62" t="s">
        <v>49</v>
      </c>
      <c r="C371" s="90" t="s">
        <v>78</v>
      </c>
      <c r="D371" s="62" t="s">
        <v>88</v>
      </c>
      <c r="E371" s="87" t="s">
        <v>75</v>
      </c>
      <c r="F371" s="62" t="s">
        <v>57</v>
      </c>
      <c r="G371" s="90" t="s">
        <v>87</v>
      </c>
      <c r="H371" s="62" t="s">
        <v>88</v>
      </c>
      <c r="I371" s="87" t="s">
        <v>86</v>
      </c>
      <c r="J371" s="62" t="s">
        <v>61</v>
      </c>
      <c r="K371" s="90" t="s">
        <v>103</v>
      </c>
      <c r="L371" s="62" t="s">
        <v>88</v>
      </c>
      <c r="M371" s="87" t="s">
        <v>76</v>
      </c>
      <c r="N371" s="62" t="s">
        <v>84</v>
      </c>
      <c r="O371" s="90" t="s">
        <v>102</v>
      </c>
      <c r="P371" s="62" t="s">
        <v>88</v>
      </c>
    </row>
    <row r="372" spans="1:22" ht="24.75" x14ac:dyDescent="0.25">
      <c r="A372" s="62" t="s">
        <v>51</v>
      </c>
      <c r="B372" s="86">
        <v>1.8543515323034395E-6</v>
      </c>
      <c r="C372" s="86">
        <f>AC357+1*L350</f>
        <v>67</v>
      </c>
      <c r="D372" s="86">
        <f>MAX(B372*1.5*((C372-F357)*500/2),0)</f>
        <v>0</v>
      </c>
      <c r="E372" s="62" t="s">
        <v>55</v>
      </c>
      <c r="F372" s="86">
        <v>1.8835563550791993E-9</v>
      </c>
      <c r="G372" s="86">
        <f>AC358+2*L350</f>
        <v>156</v>
      </c>
      <c r="H372" s="86">
        <f>F372*1.5*((G372-F358)*500/2+(G372-F359)*500+(G372-F360)*500)</f>
        <v>1.6528207015819975E-4</v>
      </c>
      <c r="I372" s="62" t="s">
        <v>59</v>
      </c>
      <c r="J372" s="86">
        <v>6.4587439154189405E-12</v>
      </c>
      <c r="K372" s="86">
        <f>AC359+3*L350</f>
        <v>245.66666666666669</v>
      </c>
      <c r="L372" s="86">
        <f>J372*1.5*((K372-G372)*500/2+(K372-G372)*500)</f>
        <v>6.5152579246788575E-7</v>
      </c>
      <c r="M372" s="62" t="s">
        <v>83</v>
      </c>
      <c r="N372" s="86">
        <v>9.6892690319205765E-15</v>
      </c>
      <c r="O372" s="86">
        <f>AC360+4*L350</f>
        <v>311.33333333333337</v>
      </c>
      <c r="P372" s="86">
        <f>N372*1.5*((O372-K372)*500/2)</f>
        <v>2.3859824991104427E-10</v>
      </c>
    </row>
    <row r="373" spans="1:22" ht="24.75" x14ac:dyDescent="0.25">
      <c r="A373" s="62" t="s">
        <v>52</v>
      </c>
      <c r="B373" s="86">
        <v>0.99999814564846767</v>
      </c>
      <c r="C373" s="88">
        <f>AC357</f>
        <v>55</v>
      </c>
      <c r="D373" s="86">
        <f>MAX(B373*1.5*((C373-F357)*500/2),0)</f>
        <v>0</v>
      </c>
      <c r="E373" s="62" t="s">
        <v>56</v>
      </c>
      <c r="F373" s="86">
        <v>1.0175999298198595E-3</v>
      </c>
      <c r="G373" s="86">
        <f>AC358+1*L350</f>
        <v>144</v>
      </c>
      <c r="H373" s="86">
        <f>F373*1.5*((G373-F358)*500/2+(G373-F359)*500+(G373-F360)*500)</f>
        <v>66.398395420745828</v>
      </c>
      <c r="I373" s="62" t="s">
        <v>60</v>
      </c>
      <c r="J373" s="86">
        <v>3.4912430182705446E-6</v>
      </c>
      <c r="K373" s="86">
        <f>AC359+2*L350</f>
        <v>233.66666666666669</v>
      </c>
      <c r="L373" s="86">
        <f>J373*1.5*((K373-G373)*500/2+(K373-G373)*500)</f>
        <v>0.3521791394680413</v>
      </c>
      <c r="M373" s="62" t="s">
        <v>59</v>
      </c>
      <c r="N373" s="86">
        <v>5.2315915887450586E-9</v>
      </c>
      <c r="O373" s="86">
        <f>AC360+3*L350</f>
        <v>299.33333333333337</v>
      </c>
      <c r="P373" s="86">
        <f>N373*1.5*((O373-K373)*500/2)</f>
        <v>1.288279428728471E-4</v>
      </c>
    </row>
    <row r="374" spans="1:22" x14ac:dyDescent="0.25">
      <c r="A374" s="86"/>
      <c r="B374" s="86"/>
      <c r="C374" s="89" t="s">
        <v>89</v>
      </c>
      <c r="D374" s="89">
        <f>SUM(D372:D373)</f>
        <v>0</v>
      </c>
      <c r="E374" s="62" t="s">
        <v>52</v>
      </c>
      <c r="F374" s="86">
        <v>0.99898239818662371</v>
      </c>
      <c r="G374" s="86">
        <f>AC358+0*L350</f>
        <v>132</v>
      </c>
      <c r="H374" s="86">
        <f>F374*1.5*((G374-F358)*500/2+(G374-F360)*500)</f>
        <v>48700.391911597901</v>
      </c>
      <c r="I374" s="62" t="s">
        <v>56</v>
      </c>
      <c r="J374" s="86">
        <v>5.3136541380417697E-6</v>
      </c>
      <c r="K374" s="86">
        <f>AC359+1*L350</f>
        <v>221.66666666666669</v>
      </c>
      <c r="L374" s="86">
        <f>J374*1.5*((K374-F359)*500/2+(K374-G374)*500)</f>
        <v>0.52007389876083832</v>
      </c>
      <c r="M374" s="62" t="s">
        <v>60</v>
      </c>
      <c r="N374" s="86">
        <v>1.0146253213554248E-5</v>
      </c>
      <c r="O374" s="86">
        <f>AC360+2*L350</f>
        <v>287.33333333333337</v>
      </c>
      <c r="P374" s="86">
        <f>N374*1.5*((O374-K374)*500/2)</f>
        <v>0.24985148538377341</v>
      </c>
    </row>
    <row r="375" spans="1:22" x14ac:dyDescent="0.25">
      <c r="A375" s="86"/>
      <c r="B375" s="86"/>
      <c r="C375" s="86"/>
      <c r="D375" s="86"/>
      <c r="E375" s="86"/>
      <c r="F375" s="86"/>
      <c r="G375" s="89" t="s">
        <v>79</v>
      </c>
      <c r="H375" s="89">
        <f>SUM(H372:H374)</f>
        <v>48766.790472300716</v>
      </c>
      <c r="I375" s="62" t="s">
        <v>52</v>
      </c>
      <c r="J375" s="86">
        <v>0.99555687207029619</v>
      </c>
      <c r="K375" s="86">
        <f>AC359+0*L350</f>
        <v>209.66666666666669</v>
      </c>
      <c r="L375" s="86">
        <f>J375*1.5*((K375-F359)*500/2+(K375-G374)*500)</f>
        <v>84000.111080931267</v>
      </c>
      <c r="M375" s="62" t="s">
        <v>56</v>
      </c>
      <c r="N375" s="86">
        <v>5.9264894896316686E-3</v>
      </c>
      <c r="O375" s="86">
        <f>AC360+1*L350</f>
        <v>275.33333333333337</v>
      </c>
      <c r="P375" s="86">
        <f>N375*1.5*((O375-K375)*500/2)</f>
        <v>145.93980368217987</v>
      </c>
    </row>
    <row r="376" spans="1:22" x14ac:dyDescent="0.25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9" t="s">
        <v>79</v>
      </c>
      <c r="L376" s="89">
        <f>SUM(L372:L375)</f>
        <v>84000.983334621022</v>
      </c>
      <c r="M376" s="62" t="s">
        <v>52</v>
      </c>
      <c r="N376" s="86">
        <v>0.99406335901320808</v>
      </c>
      <c r="O376" s="86">
        <f>AC360+0*L350</f>
        <v>263.33333333333337</v>
      </c>
      <c r="P376" s="86">
        <f>N376*1.5*((O376-K375)*500/2)</f>
        <v>20005.525100140818</v>
      </c>
      <c r="Q376" s="179" t="s">
        <v>80</v>
      </c>
      <c r="R376" s="179"/>
      <c r="S376" s="180">
        <f>D374+H375+L376+P377</f>
        <v>152919.4886910583</v>
      </c>
      <c r="T376" s="180"/>
    </row>
    <row r="377" spans="1:22" x14ac:dyDescent="0.25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9" t="s">
        <v>79</v>
      </c>
      <c r="P377" s="89">
        <f>SUM(P372:P376)</f>
        <v>20151.714884136563</v>
      </c>
      <c r="Q377" s="179"/>
      <c r="R377" s="179"/>
      <c r="S377" s="180"/>
      <c r="T377" s="180"/>
    </row>
    <row r="378" spans="1:22" x14ac:dyDescent="0.25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</row>
    <row r="379" spans="1:22" x14ac:dyDescent="0.25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</row>
    <row r="380" spans="1:22" x14ac:dyDescent="0.25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</row>
    <row r="381" spans="1:22" ht="24.75" thickBot="1" x14ac:dyDescent="0.3">
      <c r="O381" s="131" t="s">
        <v>81</v>
      </c>
      <c r="P381" s="131"/>
      <c r="Q381" s="131">
        <f>(R367+P367+M368+S376)/AC360</f>
        <v>1011.1612278632062</v>
      </c>
      <c r="R381" s="131"/>
    </row>
    <row r="382" spans="1:22" x14ac:dyDescent="0.25">
      <c r="A382" s="181" t="s">
        <v>115</v>
      </c>
      <c r="B382" s="182"/>
    </row>
    <row r="383" spans="1:22" ht="15.75" thickBot="1" x14ac:dyDescent="0.3">
      <c r="A383" s="183"/>
      <c r="B383" s="184"/>
    </row>
    <row r="384" spans="1:22" ht="21" x14ac:dyDescent="0.35">
      <c r="A384" s="185" t="s">
        <v>14</v>
      </c>
      <c r="B384" s="185"/>
      <c r="C384" s="165"/>
      <c r="D384" s="165"/>
      <c r="E384" s="165"/>
      <c r="F384" s="165"/>
      <c r="G384" s="165"/>
      <c r="H384" s="165"/>
      <c r="I384" s="165"/>
      <c r="J384" s="165"/>
      <c r="K384" s="165"/>
      <c r="L384" s="165"/>
      <c r="M384" s="165"/>
      <c r="O384" s="166" t="s">
        <v>72</v>
      </c>
      <c r="P384" s="166"/>
      <c r="Q384" s="166"/>
      <c r="R384" s="166"/>
      <c r="S384" s="166"/>
      <c r="T384" s="166"/>
      <c r="U384" s="166"/>
      <c r="V384" s="166"/>
    </row>
    <row r="385" spans="1:34" ht="36" x14ac:dyDescent="0.25">
      <c r="A385" s="4" t="s">
        <v>15</v>
      </c>
      <c r="B385" s="4" t="s">
        <v>16</v>
      </c>
      <c r="C385" s="4" t="s">
        <v>31</v>
      </c>
      <c r="D385" s="6" t="s">
        <v>17</v>
      </c>
      <c r="E385" s="6" t="s">
        <v>18</v>
      </c>
      <c r="F385" s="6" t="s">
        <v>19</v>
      </c>
      <c r="G385" s="6" t="s">
        <v>20</v>
      </c>
      <c r="H385" s="6" t="s">
        <v>21</v>
      </c>
      <c r="I385" s="6" t="s">
        <v>22</v>
      </c>
      <c r="J385" s="6" t="s">
        <v>23</v>
      </c>
      <c r="K385" s="6" t="s">
        <v>24</v>
      </c>
      <c r="L385" s="6" t="s">
        <v>25</v>
      </c>
      <c r="M385" s="6" t="s">
        <v>26</v>
      </c>
      <c r="N385" s="8"/>
      <c r="O385" s="167" t="s">
        <v>32</v>
      </c>
      <c r="P385" s="167" t="s">
        <v>35</v>
      </c>
      <c r="Q385" s="167" t="s">
        <v>66</v>
      </c>
      <c r="R385" s="99" t="s">
        <v>67</v>
      </c>
      <c r="S385" s="99" t="s">
        <v>68</v>
      </c>
      <c r="T385" s="167" t="s">
        <v>69</v>
      </c>
      <c r="U385" s="71" t="s">
        <v>33</v>
      </c>
      <c r="V385" s="99" t="s">
        <v>70</v>
      </c>
    </row>
    <row r="386" spans="1:34" x14ac:dyDescent="0.25">
      <c r="A386" s="3" t="s">
        <v>27</v>
      </c>
      <c r="B386" s="3">
        <v>0</v>
      </c>
      <c r="C386" s="3">
        <v>0.3</v>
      </c>
      <c r="D386" s="3">
        <v>243</v>
      </c>
      <c r="E386" s="3">
        <v>1.73</v>
      </c>
      <c r="F386" s="3">
        <v>5</v>
      </c>
      <c r="G386" s="169">
        <v>12</v>
      </c>
      <c r="H386" s="3">
        <v>1820</v>
      </c>
      <c r="I386" s="169">
        <v>19645</v>
      </c>
      <c r="J386" s="3">
        <v>20</v>
      </c>
      <c r="K386" s="3">
        <v>40</v>
      </c>
      <c r="L386" s="3">
        <v>500</v>
      </c>
      <c r="M386" s="3">
        <v>1000</v>
      </c>
      <c r="O386" s="168"/>
      <c r="P386" s="168"/>
      <c r="Q386" s="168"/>
      <c r="R386" s="72" t="s">
        <v>71</v>
      </c>
      <c r="S386" s="72" t="s">
        <v>71</v>
      </c>
      <c r="T386" s="168"/>
      <c r="U386" s="73">
        <v>500</v>
      </c>
      <c r="V386" s="3">
        <v>1.5</v>
      </c>
    </row>
    <row r="387" spans="1:34" x14ac:dyDescent="0.25">
      <c r="A387" s="3" t="s">
        <v>28</v>
      </c>
      <c r="B387" s="3">
        <v>0</v>
      </c>
      <c r="C387" s="3">
        <v>0.3</v>
      </c>
      <c r="D387" s="3">
        <v>254</v>
      </c>
      <c r="E387" s="3">
        <v>1.88</v>
      </c>
      <c r="F387" s="3">
        <v>3</v>
      </c>
      <c r="G387" s="170"/>
      <c r="H387" s="3">
        <v>2720</v>
      </c>
      <c r="I387" s="170"/>
      <c r="J387" s="5"/>
      <c r="K387" s="5"/>
      <c r="L387" s="5"/>
      <c r="M387" s="5"/>
      <c r="O387" s="74">
        <v>1</v>
      </c>
      <c r="P387" s="74">
        <v>106</v>
      </c>
      <c r="Q387" s="74">
        <v>110</v>
      </c>
      <c r="R387" s="74">
        <v>6</v>
      </c>
      <c r="S387" s="74">
        <v>5</v>
      </c>
      <c r="T387" s="74">
        <f>R387*$U$5/60+S387</f>
        <v>55</v>
      </c>
      <c r="U387" s="75"/>
    </row>
    <row r="388" spans="1:34" x14ac:dyDescent="0.25">
      <c r="A388" s="3" t="s">
        <v>29</v>
      </c>
      <c r="B388" s="3">
        <v>0</v>
      </c>
      <c r="C388" s="3">
        <v>0.3</v>
      </c>
      <c r="D388" s="3">
        <v>143</v>
      </c>
      <c r="E388" s="3">
        <v>2.4300000000000002</v>
      </c>
      <c r="F388" s="3">
        <v>8</v>
      </c>
      <c r="G388" s="170"/>
      <c r="H388" s="3">
        <v>3700</v>
      </c>
      <c r="I388" s="170"/>
      <c r="J388" s="5"/>
      <c r="K388" s="140" t="s">
        <v>73</v>
      </c>
      <c r="L388" s="141">
        <v>12</v>
      </c>
      <c r="M388" s="140" t="s">
        <v>74</v>
      </c>
      <c r="N388" s="141">
        <v>19645</v>
      </c>
      <c r="O388" s="74">
        <v>2</v>
      </c>
      <c r="P388" s="74">
        <v>76</v>
      </c>
      <c r="Q388" s="74">
        <v>40</v>
      </c>
      <c r="R388" s="74">
        <v>9</v>
      </c>
      <c r="S388" s="74">
        <v>2</v>
      </c>
      <c r="T388" s="74">
        <f t="shared" ref="T388:T390" si="40">R388*$U$5/60+S388</f>
        <v>77</v>
      </c>
      <c r="U388" s="75"/>
    </row>
    <row r="389" spans="1:34" x14ac:dyDescent="0.25">
      <c r="A389" s="3" t="s">
        <v>30</v>
      </c>
      <c r="B389" s="3">
        <v>0</v>
      </c>
      <c r="C389" s="3">
        <v>0.3</v>
      </c>
      <c r="D389" s="3">
        <v>449</v>
      </c>
      <c r="E389" s="3">
        <v>2.5299999999999998</v>
      </c>
      <c r="F389" s="3">
        <v>4</v>
      </c>
      <c r="G389" s="171"/>
      <c r="H389" s="3">
        <v>4320</v>
      </c>
      <c r="I389" s="171"/>
      <c r="J389" s="5"/>
      <c r="K389" s="140"/>
      <c r="L389" s="141"/>
      <c r="M389" s="140"/>
      <c r="N389" s="141"/>
      <c r="O389" s="74">
        <v>3</v>
      </c>
      <c r="P389" s="74">
        <v>95</v>
      </c>
      <c r="Q389" s="74">
        <v>67</v>
      </c>
      <c r="R389" s="74">
        <v>5</v>
      </c>
      <c r="S389" s="74">
        <v>4</v>
      </c>
      <c r="T389" s="74">
        <f t="shared" si="40"/>
        <v>45.666666666666664</v>
      </c>
      <c r="U389" s="75"/>
    </row>
    <row r="390" spans="1:34" ht="15.75" thickBo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O390" s="74">
        <v>4</v>
      </c>
      <c r="P390" s="74">
        <v>140</v>
      </c>
      <c r="Q390" s="94">
        <v>85</v>
      </c>
      <c r="R390" s="94">
        <v>8</v>
      </c>
      <c r="S390" s="94">
        <v>3</v>
      </c>
      <c r="T390" s="74">
        <f t="shared" si="40"/>
        <v>69.666666666666671</v>
      </c>
    </row>
    <row r="391" spans="1:34" ht="15" customHeight="1" x14ac:dyDescent="0.25">
      <c r="A391" s="172" t="s">
        <v>104</v>
      </c>
      <c r="B391" s="144" t="s">
        <v>105</v>
      </c>
      <c r="C391" s="144"/>
      <c r="D391" s="144"/>
      <c r="E391" s="144"/>
      <c r="F391" s="20" t="s">
        <v>27</v>
      </c>
      <c r="G391" s="20" t="s">
        <v>28</v>
      </c>
      <c r="H391" s="20" t="s">
        <v>29</v>
      </c>
      <c r="I391" s="20" t="s">
        <v>30</v>
      </c>
    </row>
    <row r="392" spans="1:34" ht="15.75" customHeight="1" thickBot="1" x14ac:dyDescent="0.3">
      <c r="A392" s="173"/>
      <c r="B392" s="145"/>
      <c r="C392" s="145"/>
      <c r="D392" s="145"/>
      <c r="E392" s="145"/>
      <c r="F392" s="20">
        <v>84</v>
      </c>
      <c r="G392" s="26">
        <v>84</v>
      </c>
      <c r="H392" s="26">
        <v>84</v>
      </c>
      <c r="I392" s="26">
        <v>252</v>
      </c>
    </row>
    <row r="393" spans="1:34" ht="15.75" customHeight="1" thickBot="1" x14ac:dyDescent="0.3">
      <c r="A393" s="173"/>
      <c r="B393" s="145"/>
      <c r="C393" s="145"/>
      <c r="D393" s="145"/>
      <c r="E393" s="145"/>
      <c r="F393" s="7"/>
      <c r="G393" s="146" t="s">
        <v>27</v>
      </c>
      <c r="H393" s="147"/>
      <c r="I393" s="147"/>
      <c r="J393" s="147"/>
      <c r="K393" s="148"/>
      <c r="L393" s="149" t="s">
        <v>28</v>
      </c>
      <c r="M393" s="150"/>
      <c r="N393" s="150"/>
      <c r="O393" s="150"/>
      <c r="P393" s="151"/>
      <c r="Q393" s="152" t="s">
        <v>29</v>
      </c>
      <c r="R393" s="153"/>
      <c r="S393" s="153"/>
      <c r="T393" s="153"/>
      <c r="U393" s="154"/>
      <c r="V393" s="155" t="s">
        <v>30</v>
      </c>
      <c r="W393" s="156"/>
      <c r="X393" s="156"/>
      <c r="Y393" s="156"/>
      <c r="Z393" s="157"/>
      <c r="AA393" s="158" t="s">
        <v>42</v>
      </c>
      <c r="AB393" s="159"/>
      <c r="AC393" s="160" t="s">
        <v>44</v>
      </c>
      <c r="AD393" s="162" t="s">
        <v>47</v>
      </c>
      <c r="AE393" s="163"/>
      <c r="AF393" s="163"/>
      <c r="AG393" s="164"/>
      <c r="AH393" s="138" t="s">
        <v>62</v>
      </c>
    </row>
    <row r="394" spans="1:34" ht="36.75" x14ac:dyDescent="0.25">
      <c r="A394" s="21" t="s">
        <v>32</v>
      </c>
      <c r="B394" s="22" t="s">
        <v>37</v>
      </c>
      <c r="C394" s="23" t="s">
        <v>33</v>
      </c>
      <c r="D394" s="22" t="s">
        <v>38</v>
      </c>
      <c r="E394" s="22" t="s">
        <v>34</v>
      </c>
      <c r="F394" s="25" t="s">
        <v>35</v>
      </c>
      <c r="G394" s="27" t="s">
        <v>39</v>
      </c>
      <c r="H394" s="10" t="s">
        <v>40</v>
      </c>
      <c r="I394" s="10" t="s">
        <v>45</v>
      </c>
      <c r="J394" s="10" t="s">
        <v>46</v>
      </c>
      <c r="K394" s="28" t="s">
        <v>41</v>
      </c>
      <c r="L394" s="30" t="s">
        <v>39</v>
      </c>
      <c r="M394" s="13" t="s">
        <v>40</v>
      </c>
      <c r="N394" s="13" t="s">
        <v>45</v>
      </c>
      <c r="O394" s="13" t="s">
        <v>46</v>
      </c>
      <c r="P394" s="31" t="s">
        <v>41</v>
      </c>
      <c r="Q394" s="33" t="s">
        <v>39</v>
      </c>
      <c r="R394" s="12" t="s">
        <v>40</v>
      </c>
      <c r="S394" s="12" t="s">
        <v>45</v>
      </c>
      <c r="T394" s="12" t="s">
        <v>46</v>
      </c>
      <c r="U394" s="34" t="s">
        <v>41</v>
      </c>
      <c r="V394" s="36" t="s">
        <v>39</v>
      </c>
      <c r="W394" s="11" t="s">
        <v>40</v>
      </c>
      <c r="X394" s="11" t="s">
        <v>45</v>
      </c>
      <c r="Y394" s="11" t="s">
        <v>46</v>
      </c>
      <c r="Z394" s="37" t="s">
        <v>41</v>
      </c>
      <c r="AA394" s="39" t="s">
        <v>41</v>
      </c>
      <c r="AB394" s="40" t="s">
        <v>43</v>
      </c>
      <c r="AC394" s="161"/>
      <c r="AD394" s="43" t="s">
        <v>27</v>
      </c>
      <c r="AE394" s="1" t="s">
        <v>28</v>
      </c>
      <c r="AF394" s="1" t="s">
        <v>29</v>
      </c>
      <c r="AG394" s="1" t="s">
        <v>30</v>
      </c>
      <c r="AH394" s="139"/>
    </row>
    <row r="395" spans="1:34" x14ac:dyDescent="0.25">
      <c r="A395" s="24">
        <v>1</v>
      </c>
      <c r="B395" s="9">
        <v>6</v>
      </c>
      <c r="C395" s="9">
        <v>500</v>
      </c>
      <c r="D395" s="9">
        <v>5</v>
      </c>
      <c r="E395" s="48">
        <f>B395*C395/60+D395</f>
        <v>55</v>
      </c>
      <c r="F395" s="100">
        <v>106</v>
      </c>
      <c r="G395" s="49">
        <f>B$5*(1-AD395*C$5)</f>
        <v>0</v>
      </c>
      <c r="H395" s="50">
        <f>G395+E395</f>
        <v>55</v>
      </c>
      <c r="I395" s="15">
        <f>(H395/D$5)^E$5</f>
        <v>7.6511831764011648E-2</v>
      </c>
      <c r="J395" s="15">
        <f>(G395/D$5)^E$5</f>
        <v>0</v>
      </c>
      <c r="K395" s="29">
        <f>1-EXP(J395-I395)</f>
        <v>7.3658046035411151E-2</v>
      </c>
      <c r="L395" s="51">
        <f>B$6*(1-AE395*C$6)</f>
        <v>0</v>
      </c>
      <c r="M395" s="52">
        <f>L395+E395</f>
        <v>55</v>
      </c>
      <c r="N395" s="17">
        <f>(M395/D$6)^E$6</f>
        <v>5.633709759436846E-2</v>
      </c>
      <c r="O395" s="17">
        <f>(L395/D$6)^E$6</f>
        <v>0</v>
      </c>
      <c r="P395" s="32">
        <f>1-EXP(O395-N395)</f>
        <v>5.4779549360660096E-2</v>
      </c>
      <c r="Q395" s="53">
        <f>B$7*(1-AF395*C$7)</f>
        <v>0</v>
      </c>
      <c r="R395" s="54">
        <f>Q395+E395</f>
        <v>55</v>
      </c>
      <c r="S395" s="16">
        <f>(R395/D$7)^E$7</f>
        <v>9.8087748172662498E-2</v>
      </c>
      <c r="T395" s="16">
        <f>(Q395/D$7)^E$7</f>
        <v>0</v>
      </c>
      <c r="U395" s="35">
        <f>1-EXP(T395-S395)</f>
        <v>9.3430649540250821E-2</v>
      </c>
      <c r="V395" s="55">
        <f>B$8*(1-AG395*C$8)</f>
        <v>0</v>
      </c>
      <c r="W395" s="56">
        <f>V395+E395</f>
        <v>55</v>
      </c>
      <c r="X395" s="18">
        <f>(W395/D$8)^E$8</f>
        <v>4.9309927237744132E-3</v>
      </c>
      <c r="Y395" s="18">
        <f>(V395/D$8)^E$8</f>
        <v>0</v>
      </c>
      <c r="Z395" s="38">
        <f>1-EXP(Y395-X395)</f>
        <v>4.9188553371368737E-3</v>
      </c>
      <c r="AA395" s="41">
        <f>K395*P395*U395*Z395</f>
        <v>1.8543515323034395E-6</v>
      </c>
      <c r="AB395" s="42">
        <f>1-AA395</f>
        <v>0.99999814564846767</v>
      </c>
      <c r="AC395" s="47">
        <f>(AD395*F$5+AE395*F$6+AF395*F$7+AG395*F$8)+E395</f>
        <v>55</v>
      </c>
      <c r="AD395" s="43">
        <v>0</v>
      </c>
      <c r="AE395" s="1">
        <v>0</v>
      </c>
      <c r="AF395" s="1">
        <v>0</v>
      </c>
      <c r="AG395" s="1">
        <v>0</v>
      </c>
      <c r="AH395" s="74">
        <v>110</v>
      </c>
    </row>
    <row r="396" spans="1:34" x14ac:dyDescent="0.25">
      <c r="A396" s="76">
        <v>4</v>
      </c>
      <c r="B396" s="58">
        <v>8</v>
      </c>
      <c r="C396" s="9">
        <v>500</v>
      </c>
      <c r="D396" s="58">
        <v>3</v>
      </c>
      <c r="E396" s="48">
        <f t="shared" ref="E396:E398" si="41">B396*C396/60+D396</f>
        <v>69.666666666666671</v>
      </c>
      <c r="F396" s="100">
        <v>140</v>
      </c>
      <c r="G396" s="49">
        <f>H395*(1-AD396*C$5)</f>
        <v>55</v>
      </c>
      <c r="H396" s="50">
        <f>G396+E396</f>
        <v>124.66666666666667</v>
      </c>
      <c r="I396" s="15">
        <f>(H396/D$5)^E$5</f>
        <v>0.31517317577772647</v>
      </c>
      <c r="J396" s="15">
        <f>(G396/D$5)^E$5</f>
        <v>7.6511831764011648E-2</v>
      </c>
      <c r="K396" s="29">
        <f>1-EXP(J396-I396)</f>
        <v>0.21231840970513827</v>
      </c>
      <c r="L396" s="51">
        <f>M395*(1-AE396*C$6)</f>
        <v>55</v>
      </c>
      <c r="M396" s="52">
        <f>L396+E396</f>
        <v>124.66666666666667</v>
      </c>
      <c r="N396" s="17">
        <f>(M396/D$6)^E$6</f>
        <v>0.26237549202961352</v>
      </c>
      <c r="O396" s="17">
        <f>(L396/D$6)^E$6</f>
        <v>5.633709759436846E-2</v>
      </c>
      <c r="P396" s="32">
        <f>1-EXP(O396-N396)</f>
        <v>0.18619816977858561</v>
      </c>
      <c r="Q396" s="53">
        <f>R395*(1-AF396*C$7)</f>
        <v>55</v>
      </c>
      <c r="R396" s="54">
        <f>Q396+E396</f>
        <v>124.66666666666667</v>
      </c>
      <c r="S396" s="16">
        <f>(R396/D$7)^E$7</f>
        <v>0.71648445673009076</v>
      </c>
      <c r="T396" s="16">
        <f>(Q396/D$7)^E$7</f>
        <v>9.8087748172662498E-2</v>
      </c>
      <c r="U396" s="35">
        <f>1-EXP(T396-S396)</f>
        <v>0.46119238891751968</v>
      </c>
      <c r="V396" s="55">
        <f>W395*(1-AG396*C$8)</f>
        <v>55</v>
      </c>
      <c r="W396" s="56">
        <f>V396+E396</f>
        <v>124.66666666666667</v>
      </c>
      <c r="X396" s="18">
        <f>(W396/D$8)^E$8</f>
        <v>3.9089951931753103E-2</v>
      </c>
      <c r="Y396" s="18">
        <f>(V396/D$8)^E$8</f>
        <v>4.9309927237744132E-3</v>
      </c>
      <c r="Z396" s="38">
        <f>1-EXP(Y396-X396)</f>
        <v>3.3582128592293481E-2</v>
      </c>
      <c r="AA396" s="41">
        <f>K396*P396*U396*Z396</f>
        <v>6.1228470695588017E-4</v>
      </c>
      <c r="AB396" s="42">
        <f>1-AA396</f>
        <v>0.99938771529304415</v>
      </c>
      <c r="AC396" s="47">
        <f>AF396*F$7+E396+AC395</f>
        <v>124.66666666666667</v>
      </c>
      <c r="AD396" s="43">
        <v>0</v>
      </c>
      <c r="AE396" s="1">
        <v>0</v>
      </c>
      <c r="AF396" s="1">
        <v>0</v>
      </c>
      <c r="AG396" s="1">
        <v>0</v>
      </c>
      <c r="AH396" s="74">
        <v>85</v>
      </c>
    </row>
    <row r="397" spans="1:34" x14ac:dyDescent="0.25">
      <c r="A397" s="24">
        <v>2</v>
      </c>
      <c r="B397" s="9">
        <v>9</v>
      </c>
      <c r="C397" s="58">
        <v>500</v>
      </c>
      <c r="D397" s="58">
        <v>2</v>
      </c>
      <c r="E397" s="48">
        <f t="shared" si="41"/>
        <v>77</v>
      </c>
      <c r="F397" s="100">
        <v>76</v>
      </c>
      <c r="G397" s="68">
        <f>H396*(1-AD397*C$5)</f>
        <v>87.266666666666666</v>
      </c>
      <c r="H397" s="69">
        <f>G397+E397</f>
        <v>164.26666666666665</v>
      </c>
      <c r="I397" s="70">
        <f>(H397/D$5)^E$5</f>
        <v>0.50792745169025055</v>
      </c>
      <c r="J397" s="70">
        <f>(G397/D$5)^E$5</f>
        <v>0.17004695403506842</v>
      </c>
      <c r="K397" s="29">
        <f>1-EXP(J397-I397)</f>
        <v>0.28671947849979462</v>
      </c>
      <c r="L397" s="51">
        <f>M396*(1-AE397*C$6)</f>
        <v>87.266666666666666</v>
      </c>
      <c r="M397" s="52">
        <f>L397+E397</f>
        <v>164.26666666666665</v>
      </c>
      <c r="N397" s="17">
        <f>(M397/D$6)^E$6</f>
        <v>0.4407025549284625</v>
      </c>
      <c r="O397" s="17">
        <f>(L397/D$6)^E$6</f>
        <v>0.13418611561976262</v>
      </c>
      <c r="P397" s="32">
        <f>1-EXP(O397-N397)</f>
        <v>0.26399358135681483</v>
      </c>
      <c r="Q397" s="53">
        <f>R396*(1-AF397*C$7)</f>
        <v>87.266666666666666</v>
      </c>
      <c r="R397" s="54">
        <f>Q397+E397</f>
        <v>164.26666666666665</v>
      </c>
      <c r="S397" s="16">
        <f>(R397/D$7)^E$7</f>
        <v>1.400614373673216</v>
      </c>
      <c r="T397" s="16">
        <f>(Q397/D$7)^E$7</f>
        <v>0.30115842040528412</v>
      </c>
      <c r="U397" s="35">
        <f>1-EXP(T397-S397)</f>
        <v>0.66694776960496838</v>
      </c>
      <c r="V397" s="55">
        <f>W396*(1-AG397*C$8)</f>
        <v>124.66666666666667</v>
      </c>
      <c r="W397" s="56">
        <f>V397+E397</f>
        <v>201.66666666666669</v>
      </c>
      <c r="X397" s="18">
        <f>(W397/D$8)^E$8</f>
        <v>0.13199001575183039</v>
      </c>
      <c r="Y397" s="18">
        <f>(V397/D$8)^E$8</f>
        <v>3.9089951931753103E-2</v>
      </c>
      <c r="Z397" s="38">
        <f>1-EXP(Y397-X397)</f>
        <v>8.8715433955963707E-2</v>
      </c>
      <c r="AA397" s="41">
        <f>K397*P397*U397*Z397</f>
        <v>4.4785927382131208E-3</v>
      </c>
      <c r="AB397" s="42">
        <f>1-AA397</f>
        <v>0.99552140726178684</v>
      </c>
      <c r="AC397" s="47">
        <f>(AF397*F$7)+E397+AC396</f>
        <v>209.66666666666669</v>
      </c>
      <c r="AD397" s="77">
        <v>1</v>
      </c>
      <c r="AE397" s="78">
        <v>1</v>
      </c>
      <c r="AF397" s="78">
        <v>1</v>
      </c>
      <c r="AG397" s="78">
        <v>0</v>
      </c>
      <c r="AH397" s="74">
        <v>40</v>
      </c>
    </row>
    <row r="398" spans="1:34" ht="15.75" thickBot="1" x14ac:dyDescent="0.3">
      <c r="A398" s="57">
        <v>3</v>
      </c>
      <c r="B398" s="58">
        <v>5</v>
      </c>
      <c r="C398" s="58">
        <v>500</v>
      </c>
      <c r="D398" s="9">
        <v>4</v>
      </c>
      <c r="E398" s="48">
        <f t="shared" si="41"/>
        <v>45.666666666666664</v>
      </c>
      <c r="F398" s="100">
        <v>95</v>
      </c>
      <c r="G398" s="68">
        <f>H397*(1-AD398*C$5)</f>
        <v>114.98666666666665</v>
      </c>
      <c r="H398" s="69">
        <f>G398+E398</f>
        <v>160.65333333333331</v>
      </c>
      <c r="I398" s="70">
        <f>(H398/D$5)^E$5</f>
        <v>0.48875408312881768</v>
      </c>
      <c r="J398" s="70">
        <f>(G398/D$5)^E$5</f>
        <v>0.27404462901257293</v>
      </c>
      <c r="K398" s="29">
        <f>1-EXP(J398-I398)</f>
        <v>0.19322418848098599</v>
      </c>
      <c r="L398" s="51">
        <f>M397*(1-AE398*C$6)</f>
        <v>114.98666666666665</v>
      </c>
      <c r="M398" s="52">
        <f>L398+E398</f>
        <v>160.65333333333331</v>
      </c>
      <c r="N398" s="17">
        <f>(M398/D$6)^E$6</f>
        <v>0.42265433313983669</v>
      </c>
      <c r="O398" s="17">
        <f>(L398/D$6)^E$6</f>
        <v>0.22538752965113423</v>
      </c>
      <c r="P398" s="32">
        <f>1-EXP(O398-N398)</f>
        <v>0.17902843398794011</v>
      </c>
      <c r="Q398" s="53">
        <f>R397*(1-AF398*C$7)</f>
        <v>114.98666666666665</v>
      </c>
      <c r="R398" s="54">
        <f>Q398+E398</f>
        <v>160.65333333333331</v>
      </c>
      <c r="S398" s="16">
        <f>(R398/D$7)^E$7</f>
        <v>1.3269223205942826</v>
      </c>
      <c r="T398" s="16">
        <f>(Q398/D$7)^E$7</f>
        <v>0.58871732444471214</v>
      </c>
      <c r="U398" s="35">
        <f>1-EXP(T398-S398)</f>
        <v>0.52202889406362218</v>
      </c>
      <c r="V398" s="55">
        <f>W397*(1-AG398*C$8)</f>
        <v>201.66666666666669</v>
      </c>
      <c r="W398" s="56">
        <f>V398+E398</f>
        <v>247.33333333333334</v>
      </c>
      <c r="X398" s="18">
        <f>(W398/D$8)^E$8</f>
        <v>0.22121871391987213</v>
      </c>
      <c r="Y398" s="18">
        <f>(V398/D$8)^E$8</f>
        <v>0.13199001575183039</v>
      </c>
      <c r="Z398" s="38">
        <f>1-EXP(Y398-X398)</f>
        <v>8.5363626009572924E-2</v>
      </c>
      <c r="AA398" s="41">
        <f>K398*P398*U398*Z398</f>
        <v>1.541526165993999E-3</v>
      </c>
      <c r="AB398" s="42">
        <f>1-AA398</f>
        <v>0.99845847383400599</v>
      </c>
      <c r="AC398" s="47">
        <f>(AF398*F$7)+E398+AC397</f>
        <v>263.33333333333337</v>
      </c>
      <c r="AD398" s="80">
        <v>1</v>
      </c>
      <c r="AE398" s="45">
        <v>1</v>
      </c>
      <c r="AF398" s="81">
        <v>1</v>
      </c>
      <c r="AG398" s="45">
        <v>0</v>
      </c>
      <c r="AH398" s="94">
        <v>67</v>
      </c>
    </row>
    <row r="399" spans="1:34" ht="18.75" x14ac:dyDescent="0.3">
      <c r="A399" s="132" t="s">
        <v>53</v>
      </c>
      <c r="B399" s="132"/>
      <c r="C399" s="132"/>
      <c r="D399" s="132"/>
      <c r="E399" s="132"/>
      <c r="F399" s="132"/>
      <c r="G399" s="132"/>
      <c r="H399" s="132"/>
      <c r="I399" s="132"/>
      <c r="J399" s="132"/>
      <c r="AG399" s="46"/>
    </row>
    <row r="400" spans="1:34" ht="15.75" x14ac:dyDescent="0.25">
      <c r="A400" s="19" t="s">
        <v>58</v>
      </c>
      <c r="B400" s="60" t="s">
        <v>49</v>
      </c>
      <c r="C400" s="61" t="s">
        <v>50</v>
      </c>
      <c r="D400" s="19" t="s">
        <v>82</v>
      </c>
      <c r="E400" s="60" t="s">
        <v>57</v>
      </c>
      <c r="F400" s="61" t="s">
        <v>50</v>
      </c>
      <c r="G400" s="19" t="s">
        <v>48</v>
      </c>
      <c r="H400" s="60" t="s">
        <v>61</v>
      </c>
      <c r="I400" s="61" t="s">
        <v>50</v>
      </c>
      <c r="J400" s="19" t="s">
        <v>54</v>
      </c>
      <c r="K400" s="83" t="s">
        <v>84</v>
      </c>
      <c r="L400" s="61" t="s">
        <v>50</v>
      </c>
      <c r="M400" s="61" t="s">
        <v>85</v>
      </c>
      <c r="O400" s="174" t="s">
        <v>64</v>
      </c>
      <c r="P400" s="174"/>
      <c r="Q400" s="175" t="s">
        <v>109</v>
      </c>
      <c r="R400" s="175"/>
    </row>
    <row r="401" spans="1:20" ht="24.75" x14ac:dyDescent="0.25">
      <c r="A401" s="61" t="s">
        <v>51</v>
      </c>
      <c r="B401" s="1">
        <f>AA395</f>
        <v>1.8543515323034395E-6</v>
      </c>
      <c r="C401" s="59">
        <f>MAX(AC395+1*L388-F395,0)</f>
        <v>0</v>
      </c>
      <c r="D401" s="62" t="s">
        <v>55</v>
      </c>
      <c r="E401" s="1">
        <f>AA395*AA396</f>
        <v>1.1353910845495988E-9</v>
      </c>
      <c r="F401" s="1">
        <f>MAX(AC396+2*L388-F396,0)</f>
        <v>8.6666666666666856</v>
      </c>
      <c r="G401" s="62" t="s">
        <v>59</v>
      </c>
      <c r="H401" s="1">
        <f>AA395*AA396*AA397</f>
        <v>5.0849542662957526E-12</v>
      </c>
      <c r="I401" s="1">
        <f>AC397+3*L388-F397</f>
        <v>169.66666666666669</v>
      </c>
      <c r="J401" s="62" t="s">
        <v>83</v>
      </c>
      <c r="K401" s="1">
        <f>AA395*AA396*AA397*AA398</f>
        <v>7.8385900543777199E-15</v>
      </c>
      <c r="L401" s="1">
        <f>AC398+4*L388-F398</f>
        <v>216.33333333333337</v>
      </c>
      <c r="M401" s="1">
        <f>B401*C401*AH395+E401*F401*AH396+H401*I401*AH397+K401*L401*AH398</f>
        <v>8.710282703759117E-7</v>
      </c>
      <c r="O401" s="1" t="s">
        <v>27</v>
      </c>
      <c r="P401" s="1">
        <f>2*H386</f>
        <v>3640</v>
      </c>
      <c r="Q401" s="1">
        <f>(K395*(1-P395)*(1-U395)*(1-Z395))+(P395*(1-K395)*(1-U395)*(1-Z395))+(U395*(1-K395)*(1-P395)*(1-Z395))+(Z395*(1-K395)*(1-P395)*(1-U395))</f>
        <v>0.19389466846386108</v>
      </c>
      <c r="R401" s="1">
        <f>Q401*(L$7*(J$5*K$5+L$5)+I$5)</f>
        <v>6833.8175900087836</v>
      </c>
    </row>
    <row r="402" spans="1:20" ht="24.75" x14ac:dyDescent="0.25">
      <c r="A402" s="62" t="s">
        <v>52</v>
      </c>
      <c r="B402" s="1">
        <f>AB395</f>
        <v>0.99999814564846767</v>
      </c>
      <c r="C402" s="59">
        <f>MAX(AC395-F395,0)</f>
        <v>0</v>
      </c>
      <c r="D402" s="62" t="s">
        <v>56</v>
      </c>
      <c r="E402" s="1">
        <f>AA395*AB396+AA396*AB395</f>
        <v>6.141367877060145E-4</v>
      </c>
      <c r="F402" s="1">
        <f>MAX(AC396+1*L388-F396,0)</f>
        <v>0</v>
      </c>
      <c r="G402" s="62" t="s">
        <v>60</v>
      </c>
      <c r="H402" s="1">
        <f>AA395*AA396*AB397+AA396*AA397*AB395+AA395*AA397*AB396</f>
        <v>2.7515988638199731E-6</v>
      </c>
      <c r="I402" s="1">
        <f>AC397+2*L388-F397</f>
        <v>157.66666666666669</v>
      </c>
      <c r="J402" s="62" t="s">
        <v>59</v>
      </c>
      <c r="K402">
        <f>AB395*AA396*AA397*AA398+AB396*AA395*AA397*AA398*+AB397*AA395*AA396*AA398+AB398*AA395*AA396*AA397</f>
        <v>4.2322020066829412E-9</v>
      </c>
      <c r="L402" s="1">
        <f>AC398+3*L388-F398</f>
        <v>204.33333333333337</v>
      </c>
      <c r="M402" s="1">
        <f>B402*C402*AH395+E402*F402*AH396+H402*I402*AH397+K402*L402*AH398</f>
        <v>1.7411357090696789E-2</v>
      </c>
      <c r="O402" s="1" t="s">
        <v>28</v>
      </c>
      <c r="P402" s="1">
        <f>2*H387</f>
        <v>5440</v>
      </c>
      <c r="Q402" s="1">
        <f t="shared" ref="Q402:Q404" si="42">(K396*(1-P396)*(1-U396)*(1-Z396))+(P396*(1-K396)*(1-U396)*(1-Z396))+(U396*(1-K396)*(1-P396)*(1-Z396))+(Z396*(1-K396)*(1-P396)*(1-U396))</f>
        <v>0.46364468761225525</v>
      </c>
      <c r="R402" s="1">
        <f t="shared" ref="R402:R404" si="43">Q402*(L$7*(J$5*K$5+L$5)+I$5)</f>
        <v>16341.157014893935</v>
      </c>
    </row>
    <row r="403" spans="1:20" ht="24.75" x14ac:dyDescent="0.25">
      <c r="A403" s="1"/>
      <c r="B403" s="1"/>
      <c r="C403" s="1"/>
      <c r="D403" s="62" t="s">
        <v>52</v>
      </c>
      <c r="E403" s="1">
        <f>AB395*AB396</f>
        <v>0.99938586207690294</v>
      </c>
      <c r="F403" s="59">
        <f>MAX(AC396-F396,0)</f>
        <v>0</v>
      </c>
      <c r="G403" s="62" t="s">
        <v>56</v>
      </c>
      <c r="H403" s="1">
        <f>AA395*AB396*AB397+AA396*AB395*AB397*+AA397*AB395*AB396</f>
        <v>4.573127513557687E-6</v>
      </c>
      <c r="I403" s="1">
        <f>AC397+1*L388-F397</f>
        <v>145.66666666666669</v>
      </c>
      <c r="J403" s="62" t="s">
        <v>60</v>
      </c>
      <c r="K403" s="1">
        <f>AA395*AA396*AB397*AB398 + AA395*AA397*AB396*AB398 + AA395*AA398*AB396*AB397 + AA396*AA397*AB395*AB398 + AA396*AA398*AB395*AB397 + AA397*AA398*AB395*AB396</f>
        <v>1.0589453176368201E-5</v>
      </c>
      <c r="L403" s="1">
        <f>AC398+2*L388-F398</f>
        <v>192.33333333333337</v>
      </c>
      <c r="M403" s="1">
        <f>B403*C403*AH395+E403*F403*AH396+H403*I403*AH397+K403*L403*AH398</f>
        <v>0.16310531309406889</v>
      </c>
      <c r="O403" s="1" t="s">
        <v>29</v>
      </c>
      <c r="P403" s="1">
        <f>2*(F388*(J386*K386+L386)+H388)</f>
        <v>28200</v>
      </c>
      <c r="Q403" s="1">
        <f t="shared" si="42"/>
        <v>0.45578128308848048</v>
      </c>
      <c r="R403" s="1">
        <f t="shared" si="43"/>
        <v>16064.011322453494</v>
      </c>
    </row>
    <row r="404" spans="1:20" ht="24.75" x14ac:dyDescent="0.25">
      <c r="A404" s="1"/>
      <c r="B404" s="1"/>
      <c r="C404" s="1"/>
      <c r="D404" s="1"/>
      <c r="E404" s="1"/>
      <c r="F404" s="1"/>
      <c r="G404" s="62" t="s">
        <v>52</v>
      </c>
      <c r="H404" s="1">
        <f>AB395*AB396*AB397</f>
        <v>0.9949100198123324</v>
      </c>
      <c r="I404" s="63">
        <f>AC397-F397</f>
        <v>133.66666666666669</v>
      </c>
      <c r="J404" s="62" t="s">
        <v>56</v>
      </c>
      <c r="K404" s="1">
        <f>AA395*AB396*AB397*AB398+AA396*AB395*AB397*AB398+AA397*AB395*AB396*AB398+AA398*AB395*AB396*AB397</f>
        <v>6.6130663160949253E-3</v>
      </c>
      <c r="L404" s="1">
        <f>AC398+1*L388-F398</f>
        <v>180.33333333333337</v>
      </c>
      <c r="M404" s="1">
        <f>B404*C404*AH395+E404*F404*AH396+H404*I404*AH397+K404*L404*AH398</f>
        <v>5399.353510849769</v>
      </c>
      <c r="O404" s="1" t="s">
        <v>30</v>
      </c>
      <c r="P404" s="1">
        <v>0</v>
      </c>
      <c r="Q404" s="1">
        <f t="shared" si="42"/>
        <v>0.47576149358861353</v>
      </c>
      <c r="R404" s="1">
        <f t="shared" si="43"/>
        <v>16768.213841530684</v>
      </c>
    </row>
    <row r="405" spans="1:20" ht="30" x14ac:dyDescent="0.25">
      <c r="I405" s="84"/>
      <c r="J405" s="62" t="s">
        <v>52</v>
      </c>
      <c r="K405" s="85">
        <f>AB395*AB396*AB397*AB398</f>
        <v>0.99337633998398212</v>
      </c>
      <c r="L405" s="1">
        <f>AC398+0*L388-F398</f>
        <v>168.33333333333337</v>
      </c>
      <c r="M405" s="1">
        <f>B405*C405*AH395+E405*F405*AH396+H405*I405*AH397+K405*L405*AH398</f>
        <v>11203.629487786013</v>
      </c>
      <c r="O405" s="64" t="s">
        <v>65</v>
      </c>
      <c r="P405" s="65">
        <f>SUM(P401:P404)</f>
        <v>37280</v>
      </c>
      <c r="Q405" s="96" t="s">
        <v>108</v>
      </c>
      <c r="R405" s="97">
        <f>SUM(R401:R404)</f>
        <v>56007.199768886901</v>
      </c>
    </row>
    <row r="406" spans="1:20" x14ac:dyDescent="0.25">
      <c r="L406" s="176" t="s">
        <v>63</v>
      </c>
      <c r="M406" s="177">
        <f>SUM(M401:M405)</f>
        <v>16603.163516176995</v>
      </c>
    </row>
    <row r="407" spans="1:20" x14ac:dyDescent="0.25">
      <c r="L407" s="176"/>
      <c r="M407" s="177"/>
    </row>
    <row r="408" spans="1:20" x14ac:dyDescent="0.25">
      <c r="A408" s="178" t="s">
        <v>90</v>
      </c>
      <c r="B408" s="178"/>
      <c r="C408" s="178"/>
      <c r="D408" s="178"/>
      <c r="E408" s="178"/>
      <c r="F408" s="178"/>
      <c r="G408" s="178"/>
      <c r="H408" s="178"/>
      <c r="I408" s="178"/>
      <c r="J408" s="178"/>
      <c r="K408" s="178"/>
      <c r="L408" s="178"/>
      <c r="M408" s="178"/>
      <c r="N408" s="178"/>
    </row>
    <row r="409" spans="1:20" ht="15.75" x14ac:dyDescent="0.25">
      <c r="A409" s="87" t="s">
        <v>77</v>
      </c>
      <c r="B409" s="62" t="s">
        <v>49</v>
      </c>
      <c r="C409" s="90" t="s">
        <v>78</v>
      </c>
      <c r="D409" s="62" t="s">
        <v>88</v>
      </c>
      <c r="E409" s="87" t="s">
        <v>86</v>
      </c>
      <c r="F409" s="62" t="s">
        <v>57</v>
      </c>
      <c r="G409" s="90" t="s">
        <v>103</v>
      </c>
      <c r="H409" s="62" t="s">
        <v>88</v>
      </c>
      <c r="I409" s="87" t="s">
        <v>75</v>
      </c>
      <c r="J409" s="62" t="s">
        <v>61</v>
      </c>
      <c r="K409" s="90" t="s">
        <v>87</v>
      </c>
      <c r="L409" s="62" t="s">
        <v>88</v>
      </c>
      <c r="M409" s="87" t="s">
        <v>76</v>
      </c>
      <c r="N409" s="62" t="s">
        <v>84</v>
      </c>
      <c r="O409" s="90" t="s">
        <v>102</v>
      </c>
      <c r="P409" s="62" t="s">
        <v>88</v>
      </c>
    </row>
    <row r="410" spans="1:20" ht="24.75" x14ac:dyDescent="0.25">
      <c r="A410" s="62" t="s">
        <v>51</v>
      </c>
      <c r="B410" s="86">
        <v>1.8543515323034395E-6</v>
      </c>
      <c r="C410" s="86">
        <f>AC395+1*L388</f>
        <v>67</v>
      </c>
      <c r="D410" s="86">
        <f>MAX(B410*1.5*((C410-F395)*500/2),0)</f>
        <v>0</v>
      </c>
      <c r="E410" s="62" t="s">
        <v>55</v>
      </c>
      <c r="F410" s="86">
        <v>1.1353910845495988E-9</v>
      </c>
      <c r="G410" s="86">
        <f>AC396+2*L388</f>
        <v>148.66666666666669</v>
      </c>
      <c r="H410" s="86">
        <f>F410*1.5*((G410-F396)*500/2+(G410-F397)*500+(G410-F398)*500)</f>
        <v>1.1126832628586072E-4</v>
      </c>
      <c r="I410" s="62" t="s">
        <v>59</v>
      </c>
      <c r="J410" s="86">
        <v>5.0849542662957526E-12</v>
      </c>
      <c r="K410" s="86">
        <f>AC397+3*L388</f>
        <v>245.66666666666669</v>
      </c>
      <c r="L410" s="86">
        <f>J410*1.5*((K410-G410)*500/2+(K410-G410)*500)</f>
        <v>5.5489563430952396E-7</v>
      </c>
      <c r="M410" s="62" t="s">
        <v>83</v>
      </c>
      <c r="N410" s="86">
        <v>7.8385900543777199E-15</v>
      </c>
      <c r="O410" s="86">
        <f>AC398+4*L388</f>
        <v>311.33333333333337</v>
      </c>
      <c r="P410" s="86">
        <f>N410*1.5*((O410-K410)*500/2)</f>
        <v>1.9302528008905142E-10</v>
      </c>
    </row>
    <row r="411" spans="1:20" ht="24.75" x14ac:dyDescent="0.25">
      <c r="A411" s="62" t="s">
        <v>52</v>
      </c>
      <c r="B411" s="86">
        <v>0.99999814564846767</v>
      </c>
      <c r="C411" s="88">
        <f>AC395</f>
        <v>55</v>
      </c>
      <c r="D411" s="86">
        <f>MAX(B411*1.5*((C411-F395)*500/2),0)</f>
        <v>0</v>
      </c>
      <c r="E411" s="62" t="s">
        <v>56</v>
      </c>
      <c r="F411" s="86">
        <v>6.141367877060145E-4</v>
      </c>
      <c r="G411" s="86">
        <f>AC396+1*L388</f>
        <v>136.66666666666669</v>
      </c>
      <c r="H411" s="86">
        <f>F411*1.5*((G411-F397)*500+(G411-F398)*500)</f>
        <v>47.134998456436634</v>
      </c>
      <c r="I411" s="62" t="s">
        <v>60</v>
      </c>
      <c r="J411" s="86">
        <v>2.7515988638199731E-6</v>
      </c>
      <c r="K411" s="86">
        <f>AC397+2*L388</f>
        <v>233.66666666666669</v>
      </c>
      <c r="L411" s="86">
        <f>J411*1.5*((K411-G411)*500/2+(K411-G411)*500)</f>
        <v>0.30026822601435454</v>
      </c>
      <c r="M411" s="62" t="s">
        <v>59</v>
      </c>
      <c r="N411" s="86">
        <v>4.2322020066829412E-9</v>
      </c>
      <c r="O411" s="86">
        <f>AC398+3*L388</f>
        <v>299.33333333333337</v>
      </c>
      <c r="P411" s="86">
        <f>N411*1.5*((O411-K411)*500/2)</f>
        <v>1.0421797441456746E-4</v>
      </c>
    </row>
    <row r="412" spans="1:20" x14ac:dyDescent="0.25">
      <c r="A412" s="86"/>
      <c r="B412" s="86"/>
      <c r="C412" s="89" t="s">
        <v>89</v>
      </c>
      <c r="D412" s="89">
        <f>SUM(D410:D411)</f>
        <v>0</v>
      </c>
      <c r="E412" s="62" t="s">
        <v>52</v>
      </c>
      <c r="F412" s="86">
        <v>0.99938586207690294</v>
      </c>
      <c r="G412" s="86">
        <f>AC396+0*L388</f>
        <v>124.66666666666667</v>
      </c>
      <c r="H412" s="86">
        <f>F412*1.5*((G412-F397)*500+(G412-F398)*500)</f>
        <v>58713.919397018057</v>
      </c>
      <c r="I412" s="62" t="s">
        <v>56</v>
      </c>
      <c r="J412" s="86">
        <v>4.573127513557687E-6</v>
      </c>
      <c r="K412" s="86">
        <f>AC397+1*L388</f>
        <v>221.66666666666669</v>
      </c>
      <c r="L412" s="86">
        <f>J412*1.5*((K412-G412)*500/2+(K412-G412)*500)</f>
        <v>0.49904253991698266</v>
      </c>
      <c r="M412" s="62" t="s">
        <v>60</v>
      </c>
      <c r="N412" s="86">
        <v>1.0589453176368201E-5</v>
      </c>
      <c r="O412" s="86">
        <f>AC398+2*L388</f>
        <v>287.33333333333337</v>
      </c>
      <c r="P412" s="86">
        <f>N412*1.5*((O412-K412)*500/2)</f>
        <v>0.26076528446806707</v>
      </c>
    </row>
    <row r="413" spans="1:20" x14ac:dyDescent="0.25">
      <c r="A413" s="86"/>
      <c r="B413" s="86"/>
      <c r="C413" s="86"/>
      <c r="D413" s="86"/>
      <c r="E413" s="86"/>
      <c r="F413" s="86"/>
      <c r="G413" s="89" t="s">
        <v>79</v>
      </c>
      <c r="H413" s="89">
        <f>SUM(H410:H412)</f>
        <v>58761.054506742817</v>
      </c>
      <c r="I413" s="62" t="s">
        <v>52</v>
      </c>
      <c r="J413" s="86">
        <v>0.9949100198123324</v>
      </c>
      <c r="K413" s="86">
        <f>AC397+0*L388</f>
        <v>209.66666666666669</v>
      </c>
      <c r="L413" s="86">
        <f>J413*1.5*((K413-G412)*500/2+(K413-G412)*500)</f>
        <v>95138.270644554315</v>
      </c>
      <c r="M413" s="62" t="s">
        <v>56</v>
      </c>
      <c r="N413" s="86">
        <v>6.6130663160949253E-3</v>
      </c>
      <c r="O413" s="86">
        <f>AC398+1*L388</f>
        <v>275.33333333333337</v>
      </c>
      <c r="P413" s="86">
        <f>N413*1.5*((O413-K413)*500/2)</f>
        <v>162.84675803383757</v>
      </c>
    </row>
    <row r="414" spans="1:20" x14ac:dyDescent="0.25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9" t="s">
        <v>79</v>
      </c>
      <c r="L414" s="89">
        <f>SUM(L410:L413)</f>
        <v>95139.069955875137</v>
      </c>
      <c r="M414" s="62" t="s">
        <v>52</v>
      </c>
      <c r="N414" s="86">
        <v>0.99337633998398212</v>
      </c>
      <c r="O414" s="86">
        <f>AC398+0*L388</f>
        <v>263.33333333333337</v>
      </c>
      <c r="P414" s="86">
        <f>N414*1.5*((O414-K413)*500/2)</f>
        <v>19991.698842177648</v>
      </c>
      <c r="Q414" s="179" t="s">
        <v>80</v>
      </c>
      <c r="R414" s="179"/>
      <c r="S414" s="180">
        <f>D412+H413+L414+P415</f>
        <v>174054.93093233209</v>
      </c>
      <c r="T414" s="180"/>
    </row>
    <row r="415" spans="1:20" x14ac:dyDescent="0.25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9" t="s">
        <v>79</v>
      </c>
      <c r="P415" s="89">
        <f>SUM(P410:P414)</f>
        <v>20154.80646971412</v>
      </c>
      <c r="Q415" s="179"/>
      <c r="R415" s="179"/>
      <c r="S415" s="180"/>
      <c r="T415" s="180"/>
    </row>
    <row r="416" spans="1:20" x14ac:dyDescent="0.25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</row>
    <row r="417" spans="1:34" x14ac:dyDescent="0.25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</row>
    <row r="418" spans="1:34" x14ac:dyDescent="0.25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</row>
    <row r="419" spans="1:34" ht="24.75" thickBot="1" x14ac:dyDescent="0.3">
      <c r="O419" s="131" t="s">
        <v>81</v>
      </c>
      <c r="P419" s="131"/>
      <c r="Q419" s="131">
        <f>(R405+P405+M406+S414)/AC398</f>
        <v>1078.2732691799847</v>
      </c>
      <c r="R419" s="131"/>
    </row>
    <row r="420" spans="1:34" x14ac:dyDescent="0.25">
      <c r="A420" s="181" t="s">
        <v>116</v>
      </c>
      <c r="B420" s="182"/>
    </row>
    <row r="421" spans="1:34" ht="15.75" thickBot="1" x14ac:dyDescent="0.3">
      <c r="A421" s="183"/>
      <c r="B421" s="184"/>
    </row>
    <row r="422" spans="1:34" ht="21" x14ac:dyDescent="0.35">
      <c r="A422" s="185" t="s">
        <v>14</v>
      </c>
      <c r="B422" s="185"/>
      <c r="C422" s="165"/>
      <c r="D422" s="165"/>
      <c r="E422" s="165"/>
      <c r="F422" s="165"/>
      <c r="G422" s="165"/>
      <c r="H422" s="165"/>
      <c r="I422" s="165"/>
      <c r="J422" s="165"/>
      <c r="K422" s="165"/>
      <c r="L422" s="165"/>
      <c r="M422" s="165"/>
      <c r="O422" s="166" t="s">
        <v>72</v>
      </c>
      <c r="P422" s="166"/>
      <c r="Q422" s="166"/>
      <c r="R422" s="166"/>
      <c r="S422" s="166"/>
      <c r="T422" s="166"/>
      <c r="U422" s="166"/>
      <c r="V422" s="166"/>
    </row>
    <row r="423" spans="1:34" ht="36" x14ac:dyDescent="0.25">
      <c r="A423" s="4" t="s">
        <v>15</v>
      </c>
      <c r="B423" s="4" t="s">
        <v>16</v>
      </c>
      <c r="C423" s="4" t="s">
        <v>31</v>
      </c>
      <c r="D423" s="6" t="s">
        <v>17</v>
      </c>
      <c r="E423" s="6" t="s">
        <v>18</v>
      </c>
      <c r="F423" s="6" t="s">
        <v>19</v>
      </c>
      <c r="G423" s="6" t="s">
        <v>20</v>
      </c>
      <c r="H423" s="6" t="s">
        <v>21</v>
      </c>
      <c r="I423" s="6" t="s">
        <v>22</v>
      </c>
      <c r="J423" s="6" t="s">
        <v>23</v>
      </c>
      <c r="K423" s="6" t="s">
        <v>24</v>
      </c>
      <c r="L423" s="6" t="s">
        <v>25</v>
      </c>
      <c r="M423" s="6" t="s">
        <v>26</v>
      </c>
      <c r="N423" s="8"/>
      <c r="O423" s="167" t="s">
        <v>32</v>
      </c>
      <c r="P423" s="167" t="s">
        <v>35</v>
      </c>
      <c r="Q423" s="167" t="s">
        <v>66</v>
      </c>
      <c r="R423" s="99" t="s">
        <v>67</v>
      </c>
      <c r="S423" s="99" t="s">
        <v>68</v>
      </c>
      <c r="T423" s="167" t="s">
        <v>69</v>
      </c>
      <c r="U423" s="71" t="s">
        <v>33</v>
      </c>
      <c r="V423" s="99" t="s">
        <v>70</v>
      </c>
    </row>
    <row r="424" spans="1:34" x14ac:dyDescent="0.25">
      <c r="A424" s="3" t="s">
        <v>27</v>
      </c>
      <c r="B424" s="3">
        <v>0</v>
      </c>
      <c r="C424" s="3">
        <v>0.3</v>
      </c>
      <c r="D424" s="3">
        <v>243</v>
      </c>
      <c r="E424" s="3">
        <v>1.73</v>
      </c>
      <c r="F424" s="3">
        <v>5</v>
      </c>
      <c r="G424" s="169">
        <v>12</v>
      </c>
      <c r="H424" s="3">
        <v>1820</v>
      </c>
      <c r="I424" s="169">
        <v>19645</v>
      </c>
      <c r="J424" s="3">
        <v>20</v>
      </c>
      <c r="K424" s="3">
        <v>40</v>
      </c>
      <c r="L424" s="3">
        <v>500</v>
      </c>
      <c r="M424" s="3">
        <v>1000</v>
      </c>
      <c r="O424" s="168"/>
      <c r="P424" s="168"/>
      <c r="Q424" s="168"/>
      <c r="R424" s="72" t="s">
        <v>71</v>
      </c>
      <c r="S424" s="72" t="s">
        <v>71</v>
      </c>
      <c r="T424" s="168"/>
      <c r="U424" s="73">
        <v>500</v>
      </c>
      <c r="V424" s="3">
        <v>1.5</v>
      </c>
    </row>
    <row r="425" spans="1:34" x14ac:dyDescent="0.25">
      <c r="A425" s="3" t="s">
        <v>28</v>
      </c>
      <c r="B425" s="3">
        <v>0</v>
      </c>
      <c r="C425" s="3">
        <v>0.3</v>
      </c>
      <c r="D425" s="3">
        <v>254</v>
      </c>
      <c r="E425" s="3">
        <v>1.88</v>
      </c>
      <c r="F425" s="3">
        <v>3</v>
      </c>
      <c r="G425" s="170"/>
      <c r="H425" s="3">
        <v>2720</v>
      </c>
      <c r="I425" s="170"/>
      <c r="J425" s="5"/>
      <c r="K425" s="5"/>
      <c r="L425" s="5"/>
      <c r="M425" s="5"/>
      <c r="O425" s="74">
        <v>1</v>
      </c>
      <c r="P425" s="74">
        <v>106</v>
      </c>
      <c r="Q425" s="74">
        <v>110</v>
      </c>
      <c r="R425" s="74">
        <v>6</v>
      </c>
      <c r="S425" s="74">
        <v>5</v>
      </c>
      <c r="T425" s="74">
        <f>R425*$U$5/60+S425</f>
        <v>55</v>
      </c>
      <c r="U425" s="75"/>
    </row>
    <row r="426" spans="1:34" x14ac:dyDescent="0.25">
      <c r="A426" s="3" t="s">
        <v>29</v>
      </c>
      <c r="B426" s="3">
        <v>0</v>
      </c>
      <c r="C426" s="3">
        <v>0.3</v>
      </c>
      <c r="D426" s="3">
        <v>143</v>
      </c>
      <c r="E426" s="3">
        <v>2.4300000000000002</v>
      </c>
      <c r="F426" s="3">
        <v>8</v>
      </c>
      <c r="G426" s="170"/>
      <c r="H426" s="3">
        <v>3700</v>
      </c>
      <c r="I426" s="170"/>
      <c r="J426" s="5"/>
      <c r="K426" s="140" t="s">
        <v>73</v>
      </c>
      <c r="L426" s="141">
        <v>12</v>
      </c>
      <c r="M426" s="140" t="s">
        <v>74</v>
      </c>
      <c r="N426" s="141">
        <v>19645</v>
      </c>
      <c r="O426" s="74">
        <v>2</v>
      </c>
      <c r="P426" s="74">
        <v>76</v>
      </c>
      <c r="Q426" s="74">
        <v>40</v>
      </c>
      <c r="R426" s="74">
        <v>9</v>
      </c>
      <c r="S426" s="74">
        <v>2</v>
      </c>
      <c r="T426" s="74">
        <f t="shared" ref="T426:T428" si="44">R426*$U$5/60+S426</f>
        <v>77</v>
      </c>
      <c r="U426" s="75"/>
    </row>
    <row r="427" spans="1:34" x14ac:dyDescent="0.25">
      <c r="A427" s="3" t="s">
        <v>30</v>
      </c>
      <c r="B427" s="3">
        <v>0</v>
      </c>
      <c r="C427" s="3">
        <v>0.3</v>
      </c>
      <c r="D427" s="3">
        <v>449</v>
      </c>
      <c r="E427" s="3">
        <v>2.5299999999999998</v>
      </c>
      <c r="F427" s="3">
        <v>4</v>
      </c>
      <c r="G427" s="171"/>
      <c r="H427" s="3">
        <v>4320</v>
      </c>
      <c r="I427" s="171"/>
      <c r="J427" s="5"/>
      <c r="K427" s="140"/>
      <c r="L427" s="141"/>
      <c r="M427" s="140"/>
      <c r="N427" s="141"/>
      <c r="O427" s="74">
        <v>3</v>
      </c>
      <c r="P427" s="74">
        <v>95</v>
      </c>
      <c r="Q427" s="74">
        <v>67</v>
      </c>
      <c r="R427" s="74">
        <v>5</v>
      </c>
      <c r="S427" s="74">
        <v>4</v>
      </c>
      <c r="T427" s="74">
        <f t="shared" si="44"/>
        <v>45.666666666666664</v>
      </c>
      <c r="U427" s="75"/>
    </row>
    <row r="428" spans="1:34" ht="15.75" thickBo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O428" s="74">
        <v>4</v>
      </c>
      <c r="P428" s="74">
        <v>140</v>
      </c>
      <c r="Q428" s="94">
        <v>85</v>
      </c>
      <c r="R428" s="94">
        <v>8</v>
      </c>
      <c r="S428" s="94">
        <v>3</v>
      </c>
      <c r="T428" s="74">
        <f t="shared" si="44"/>
        <v>69.666666666666671</v>
      </c>
    </row>
    <row r="429" spans="1:34" ht="15" customHeight="1" x14ac:dyDescent="0.25">
      <c r="A429" s="172" t="s">
        <v>104</v>
      </c>
      <c r="B429" s="144" t="s">
        <v>105</v>
      </c>
      <c r="C429" s="144"/>
      <c r="D429" s="144"/>
      <c r="E429" s="144"/>
      <c r="F429" s="20" t="s">
        <v>27</v>
      </c>
      <c r="G429" s="20" t="s">
        <v>28</v>
      </c>
      <c r="H429" s="20" t="s">
        <v>29</v>
      </c>
      <c r="I429" s="20" t="s">
        <v>30</v>
      </c>
    </row>
    <row r="430" spans="1:34" ht="15.75" customHeight="1" thickBot="1" x14ac:dyDescent="0.3">
      <c r="A430" s="173"/>
      <c r="B430" s="145"/>
      <c r="C430" s="145"/>
      <c r="D430" s="145"/>
      <c r="E430" s="145"/>
      <c r="F430" s="20">
        <v>84</v>
      </c>
      <c r="G430" s="26">
        <v>84</v>
      </c>
      <c r="H430" s="26">
        <v>84</v>
      </c>
      <c r="I430" s="26">
        <v>252</v>
      </c>
    </row>
    <row r="431" spans="1:34" ht="15.75" customHeight="1" thickBot="1" x14ac:dyDescent="0.3">
      <c r="A431" s="173"/>
      <c r="B431" s="145"/>
      <c r="C431" s="145"/>
      <c r="D431" s="145"/>
      <c r="E431" s="145"/>
      <c r="F431" s="7"/>
      <c r="G431" s="146" t="s">
        <v>27</v>
      </c>
      <c r="H431" s="147"/>
      <c r="I431" s="147"/>
      <c r="J431" s="147"/>
      <c r="K431" s="148"/>
      <c r="L431" s="149" t="s">
        <v>28</v>
      </c>
      <c r="M431" s="150"/>
      <c r="N431" s="150"/>
      <c r="O431" s="150"/>
      <c r="P431" s="151"/>
      <c r="Q431" s="152" t="s">
        <v>29</v>
      </c>
      <c r="R431" s="153"/>
      <c r="S431" s="153"/>
      <c r="T431" s="153"/>
      <c r="U431" s="154"/>
      <c r="V431" s="155" t="s">
        <v>30</v>
      </c>
      <c r="W431" s="156"/>
      <c r="X431" s="156"/>
      <c r="Y431" s="156"/>
      <c r="Z431" s="157"/>
      <c r="AA431" s="158" t="s">
        <v>42</v>
      </c>
      <c r="AB431" s="159"/>
      <c r="AC431" s="160" t="s">
        <v>44</v>
      </c>
      <c r="AD431" s="162" t="s">
        <v>47</v>
      </c>
      <c r="AE431" s="163"/>
      <c r="AF431" s="163"/>
      <c r="AG431" s="164"/>
      <c r="AH431" s="138" t="s">
        <v>62</v>
      </c>
    </row>
    <row r="432" spans="1:34" ht="36.75" x14ac:dyDescent="0.25">
      <c r="A432" s="21" t="s">
        <v>32</v>
      </c>
      <c r="B432" s="22" t="s">
        <v>37</v>
      </c>
      <c r="C432" s="23" t="s">
        <v>33</v>
      </c>
      <c r="D432" s="22" t="s">
        <v>38</v>
      </c>
      <c r="E432" s="22" t="s">
        <v>34</v>
      </c>
      <c r="F432" s="25" t="s">
        <v>35</v>
      </c>
      <c r="G432" s="27" t="s">
        <v>39</v>
      </c>
      <c r="H432" s="10" t="s">
        <v>40</v>
      </c>
      <c r="I432" s="10" t="s">
        <v>45</v>
      </c>
      <c r="J432" s="10" t="s">
        <v>46</v>
      </c>
      <c r="K432" s="28" t="s">
        <v>41</v>
      </c>
      <c r="L432" s="30" t="s">
        <v>39</v>
      </c>
      <c r="M432" s="13" t="s">
        <v>40</v>
      </c>
      <c r="N432" s="13" t="s">
        <v>45</v>
      </c>
      <c r="O432" s="13" t="s">
        <v>46</v>
      </c>
      <c r="P432" s="31" t="s">
        <v>41</v>
      </c>
      <c r="Q432" s="33" t="s">
        <v>39</v>
      </c>
      <c r="R432" s="12" t="s">
        <v>40</v>
      </c>
      <c r="S432" s="12" t="s">
        <v>45</v>
      </c>
      <c r="T432" s="12" t="s">
        <v>46</v>
      </c>
      <c r="U432" s="34" t="s">
        <v>41</v>
      </c>
      <c r="V432" s="36" t="s">
        <v>39</v>
      </c>
      <c r="W432" s="11" t="s">
        <v>40</v>
      </c>
      <c r="X432" s="11" t="s">
        <v>45</v>
      </c>
      <c r="Y432" s="11" t="s">
        <v>46</v>
      </c>
      <c r="Z432" s="37" t="s">
        <v>41</v>
      </c>
      <c r="AA432" s="39" t="s">
        <v>41</v>
      </c>
      <c r="AB432" s="40" t="s">
        <v>43</v>
      </c>
      <c r="AC432" s="161"/>
      <c r="AD432" s="43" t="s">
        <v>27</v>
      </c>
      <c r="AE432" s="1" t="s">
        <v>28</v>
      </c>
      <c r="AF432" s="1" t="s">
        <v>29</v>
      </c>
      <c r="AG432" s="1" t="s">
        <v>30</v>
      </c>
      <c r="AH432" s="139"/>
    </row>
    <row r="433" spans="1:34" x14ac:dyDescent="0.25">
      <c r="A433" s="24">
        <v>1</v>
      </c>
      <c r="B433" s="9">
        <v>6</v>
      </c>
      <c r="C433" s="9">
        <v>500</v>
      </c>
      <c r="D433" s="9">
        <v>5</v>
      </c>
      <c r="E433" s="48">
        <f>B433*C433/60+D433</f>
        <v>55</v>
      </c>
      <c r="F433" s="100">
        <v>106</v>
      </c>
      <c r="G433" s="49">
        <f>B$5*(1-AD433*C$5)</f>
        <v>0</v>
      </c>
      <c r="H433" s="50">
        <f>G433+E433</f>
        <v>55</v>
      </c>
      <c r="I433" s="15">
        <f>(H433/D$5)^E$5</f>
        <v>7.6511831764011648E-2</v>
      </c>
      <c r="J433" s="15">
        <f>(G433/D$5)^E$5</f>
        <v>0</v>
      </c>
      <c r="K433" s="29">
        <f>1-EXP(J433-I433)</f>
        <v>7.3658046035411151E-2</v>
      </c>
      <c r="L433" s="51">
        <f>B$6*(1-AE433*C$6)</f>
        <v>0</v>
      </c>
      <c r="M433" s="52">
        <f>L433+E433</f>
        <v>55</v>
      </c>
      <c r="N433" s="17">
        <f>(M433/D$6)^E$6</f>
        <v>5.633709759436846E-2</v>
      </c>
      <c r="O433" s="17">
        <f>(L433/D$6)^E$6</f>
        <v>0</v>
      </c>
      <c r="P433" s="32">
        <f>1-EXP(O433-N433)</f>
        <v>5.4779549360660096E-2</v>
      </c>
      <c r="Q433" s="53">
        <f>B$7*(1-AF433*C$7)</f>
        <v>0</v>
      </c>
      <c r="R433" s="54">
        <f>Q433+E433</f>
        <v>55</v>
      </c>
      <c r="S433" s="16">
        <f>(R433/D$7)^E$7</f>
        <v>9.8087748172662498E-2</v>
      </c>
      <c r="T433" s="16">
        <f>(Q433/D$7)^E$7</f>
        <v>0</v>
      </c>
      <c r="U433" s="35">
        <f>1-EXP(T433-S433)</f>
        <v>9.3430649540250821E-2</v>
      </c>
      <c r="V433" s="55">
        <f>B$8*(1-AG433*C$8)</f>
        <v>0</v>
      </c>
      <c r="W433" s="56">
        <f>V433+E433</f>
        <v>55</v>
      </c>
      <c r="X433" s="18">
        <f>(W433/D$8)^E$8</f>
        <v>4.9309927237744132E-3</v>
      </c>
      <c r="Y433" s="18">
        <f>(V433/D$8)^E$8</f>
        <v>0</v>
      </c>
      <c r="Z433" s="38">
        <f>1-EXP(Y433-X433)</f>
        <v>4.9188553371368737E-3</v>
      </c>
      <c r="AA433" s="41">
        <f>K433*P433*U433*Z433</f>
        <v>1.8543515323034395E-6</v>
      </c>
      <c r="AB433" s="42">
        <f>1-AA433</f>
        <v>0.99999814564846767</v>
      </c>
      <c r="AC433" s="47">
        <f>(AD433*F$5+AE433*F$6+AF433*F$7+AG433*F$8)+E433</f>
        <v>55</v>
      </c>
      <c r="AD433" s="43">
        <v>0</v>
      </c>
      <c r="AE433" s="1">
        <v>0</v>
      </c>
      <c r="AF433" s="1">
        <v>0</v>
      </c>
      <c r="AG433" s="1">
        <v>0</v>
      </c>
      <c r="AH433" s="74">
        <v>110</v>
      </c>
    </row>
    <row r="434" spans="1:34" x14ac:dyDescent="0.25">
      <c r="A434" s="76">
        <v>4</v>
      </c>
      <c r="B434" s="58">
        <v>8</v>
      </c>
      <c r="C434" s="9">
        <v>500</v>
      </c>
      <c r="D434" s="58">
        <v>3</v>
      </c>
      <c r="E434" s="48">
        <f t="shared" ref="E434:E436" si="45">B434*C434/60+D434</f>
        <v>69.666666666666671</v>
      </c>
      <c r="F434" s="100">
        <v>140</v>
      </c>
      <c r="G434" s="49">
        <f>H433*(1-AD434*C$5)</f>
        <v>55</v>
      </c>
      <c r="H434" s="50">
        <f>G434+E434</f>
        <v>124.66666666666667</v>
      </c>
      <c r="I434" s="15">
        <f>(H434/D$5)^E$5</f>
        <v>0.31517317577772647</v>
      </c>
      <c r="J434" s="15">
        <f>(G434/D$5)^E$5</f>
        <v>7.6511831764011648E-2</v>
      </c>
      <c r="K434" s="29">
        <f>1-EXP(J434-I434)</f>
        <v>0.21231840970513827</v>
      </c>
      <c r="L434" s="51">
        <f>M433*(1-AE434*C$6)</f>
        <v>55</v>
      </c>
      <c r="M434" s="52">
        <f>L434+E434</f>
        <v>124.66666666666667</v>
      </c>
      <c r="N434" s="17">
        <f>(M434/D$6)^E$6</f>
        <v>0.26237549202961352</v>
      </c>
      <c r="O434" s="17">
        <f>(L434/D$6)^E$6</f>
        <v>5.633709759436846E-2</v>
      </c>
      <c r="P434" s="32">
        <f>1-EXP(O434-N434)</f>
        <v>0.18619816977858561</v>
      </c>
      <c r="Q434" s="53">
        <f>R433*(1-AF434*C$7)</f>
        <v>55</v>
      </c>
      <c r="R434" s="54">
        <f>Q434+E434</f>
        <v>124.66666666666667</v>
      </c>
      <c r="S434" s="16">
        <f>(R434/D$7)^E$7</f>
        <v>0.71648445673009076</v>
      </c>
      <c r="T434" s="16">
        <f>(Q434/D$7)^E$7</f>
        <v>9.8087748172662498E-2</v>
      </c>
      <c r="U434" s="35">
        <f>1-EXP(T434-S434)</f>
        <v>0.46119238891751968</v>
      </c>
      <c r="V434" s="55">
        <f>W433*(1-AG434*C$8)</f>
        <v>55</v>
      </c>
      <c r="W434" s="56">
        <f>V434+E434</f>
        <v>124.66666666666667</v>
      </c>
      <c r="X434" s="18">
        <f>(W434/D$8)^E$8</f>
        <v>3.9089951931753103E-2</v>
      </c>
      <c r="Y434" s="18">
        <f>(V434/D$8)^E$8</f>
        <v>4.9309927237744132E-3</v>
      </c>
      <c r="Z434" s="38">
        <f>1-EXP(Y434-X434)</f>
        <v>3.3582128592293481E-2</v>
      </c>
      <c r="AA434" s="41">
        <f>K434*P434*U434*Z434</f>
        <v>6.1228470695588017E-4</v>
      </c>
      <c r="AB434" s="42">
        <f>1-AA434</f>
        <v>0.99938771529304415</v>
      </c>
      <c r="AC434" s="47">
        <f>AF434*F$7+E434+AC433</f>
        <v>124.66666666666667</v>
      </c>
      <c r="AD434" s="43">
        <v>0</v>
      </c>
      <c r="AE434" s="1">
        <v>0</v>
      </c>
      <c r="AF434" s="1">
        <v>0</v>
      </c>
      <c r="AG434" s="1">
        <v>0</v>
      </c>
      <c r="AH434" s="74">
        <v>85</v>
      </c>
    </row>
    <row r="435" spans="1:34" x14ac:dyDescent="0.25">
      <c r="A435" s="24">
        <v>3</v>
      </c>
      <c r="B435" s="9">
        <v>5</v>
      </c>
      <c r="C435" s="58">
        <v>500</v>
      </c>
      <c r="D435" s="58">
        <v>4</v>
      </c>
      <c r="E435" s="48">
        <f t="shared" si="45"/>
        <v>45.666666666666664</v>
      </c>
      <c r="F435" s="100">
        <v>95</v>
      </c>
      <c r="G435" s="68">
        <f>H434*(1-AD435*C$5)</f>
        <v>87.266666666666666</v>
      </c>
      <c r="H435" s="69">
        <f>G435+E435</f>
        <v>132.93333333333334</v>
      </c>
      <c r="I435" s="70">
        <f>(H435/D$5)^E$5</f>
        <v>0.35219872941851332</v>
      </c>
      <c r="J435" s="70">
        <f>(G435/D$5)^E$5</f>
        <v>0.17004695403506842</v>
      </c>
      <c r="K435" s="29">
        <f>1-EXP(J435-I435)</f>
        <v>0.16652517014650903</v>
      </c>
      <c r="L435" s="51">
        <f>M434*(1-AE435*C$6)</f>
        <v>87.266666666666666</v>
      </c>
      <c r="M435" s="52">
        <f>L435+E435</f>
        <v>132.93333333333334</v>
      </c>
      <c r="N435" s="17">
        <f>(M435/D$6)^E$6</f>
        <v>0.29603586895842493</v>
      </c>
      <c r="O435" s="17">
        <f>(L435/D$6)^E$6</f>
        <v>0.13418611561976262</v>
      </c>
      <c r="P435" s="32">
        <f>1-EXP(O435-N435)</f>
        <v>0.14943100990868496</v>
      </c>
      <c r="Q435" s="53">
        <f>R434*(1-AF435*C$7)</f>
        <v>87.266666666666666</v>
      </c>
      <c r="R435" s="54">
        <f>Q435+E435</f>
        <v>132.93333333333334</v>
      </c>
      <c r="S435" s="16">
        <f>(R435/D$7)^E$7</f>
        <v>0.83745946166039797</v>
      </c>
      <c r="T435" s="16">
        <f>(Q435/D$7)^E$7</f>
        <v>0.30115842040528412</v>
      </c>
      <c r="U435" s="35">
        <f>1-EXP(T435-S435)</f>
        <v>0.41509219429478805</v>
      </c>
      <c r="V435" s="55">
        <f>W434*(1-AG435*C$8)</f>
        <v>124.66666666666667</v>
      </c>
      <c r="W435" s="56">
        <f>V435+E435</f>
        <v>170.33333333333334</v>
      </c>
      <c r="X435" s="18">
        <f>(W435/D$8)^E$8</f>
        <v>8.6100338756432887E-2</v>
      </c>
      <c r="Y435" s="18">
        <f>(V435/D$8)^E$8</f>
        <v>3.9089951931753103E-2</v>
      </c>
      <c r="Z435" s="38">
        <f>1-EXP(Y435-X435)</f>
        <v>4.5922512296690643E-2</v>
      </c>
      <c r="AA435" s="41">
        <f>K435*P435*U435*Z435</f>
        <v>4.7434117322257678E-4</v>
      </c>
      <c r="AB435" s="42">
        <f>1-AA435</f>
        <v>0.99952565882677746</v>
      </c>
      <c r="AC435" s="47">
        <f>(AF435*F$7)+E435+AC434</f>
        <v>178.33333333333334</v>
      </c>
      <c r="AD435" s="77">
        <v>1</v>
      </c>
      <c r="AE435" s="78">
        <v>1</v>
      </c>
      <c r="AF435" s="78">
        <v>1</v>
      </c>
      <c r="AG435" s="78">
        <v>0</v>
      </c>
      <c r="AH435" s="74">
        <v>67</v>
      </c>
    </row>
    <row r="436" spans="1:34" ht="15.75" thickBot="1" x14ac:dyDescent="0.3">
      <c r="A436" s="57">
        <v>2</v>
      </c>
      <c r="B436" s="58">
        <v>9</v>
      </c>
      <c r="C436" s="58">
        <v>500</v>
      </c>
      <c r="D436" s="9">
        <v>2</v>
      </c>
      <c r="E436" s="48">
        <f t="shared" si="45"/>
        <v>77</v>
      </c>
      <c r="F436" s="100">
        <v>76</v>
      </c>
      <c r="G436" s="68">
        <f>H435*(1-AD436*C$5)</f>
        <v>93.053333333333327</v>
      </c>
      <c r="H436" s="69">
        <f>G436+E436</f>
        <v>170.05333333333334</v>
      </c>
      <c r="I436" s="70">
        <f>(H436/D$5)^E$5</f>
        <v>0.5392789330539719</v>
      </c>
      <c r="J436" s="70">
        <f>(G436/D$5)^E$5</f>
        <v>0.19002353548918979</v>
      </c>
      <c r="K436" s="29">
        <f>1-EXP(J436-I436)</f>
        <v>0.294787002414027</v>
      </c>
      <c r="L436" s="51">
        <f>M435*(1-AE436*C$6)</f>
        <v>93.053333333333327</v>
      </c>
      <c r="M436" s="52">
        <f>L436+E436</f>
        <v>170.05333333333334</v>
      </c>
      <c r="N436" s="17">
        <f>(M436/D$6)^E$6</f>
        <v>0.47034084314905283</v>
      </c>
      <c r="O436" s="17">
        <f>(L436/D$6)^E$6</f>
        <v>0.15140096749268256</v>
      </c>
      <c r="P436" s="32">
        <f>1-EXP(O436-N436)</f>
        <v>0.27308074646452829</v>
      </c>
      <c r="Q436" s="53">
        <f>R435*(1-AF436*C$7)</f>
        <v>93.053333333333327</v>
      </c>
      <c r="R436" s="54">
        <f>Q436+E436</f>
        <v>170.05333333333334</v>
      </c>
      <c r="S436" s="16">
        <f>(R436/D$7)^E$7</f>
        <v>1.5235451944421441</v>
      </c>
      <c r="T436" s="16">
        <f>(Q436/D$7)^E$7</f>
        <v>0.35200759243004098</v>
      </c>
      <c r="U436" s="35">
        <f>1-EXP(T436-S436)</f>
        <v>0.6901099128680086</v>
      </c>
      <c r="V436" s="55">
        <f>W435*(1-AG436*C$8)</f>
        <v>170.33333333333334</v>
      </c>
      <c r="W436" s="56">
        <f>V436+E436</f>
        <v>247.33333333333334</v>
      </c>
      <c r="X436" s="18">
        <f>(W436/D$8)^E$8</f>
        <v>0.22121871391987213</v>
      </c>
      <c r="Y436" s="18">
        <f>(V436/D$8)^E$8</f>
        <v>8.6100338756432887E-2</v>
      </c>
      <c r="Z436" s="38">
        <f>1-EXP(Y436-X436)</f>
        <v>0.1263875084545022</v>
      </c>
      <c r="AA436" s="41">
        <f>K436*P436*U436*Z436</f>
        <v>7.0213695329065925E-3</v>
      </c>
      <c r="AB436" s="42">
        <f>1-AA436</f>
        <v>0.99297863046709345</v>
      </c>
      <c r="AC436" s="47">
        <f>(AF436*F$7)+E436+AC435</f>
        <v>263.33333333333337</v>
      </c>
      <c r="AD436" s="80">
        <v>1</v>
      </c>
      <c r="AE436" s="45">
        <v>1</v>
      </c>
      <c r="AF436" s="81">
        <v>1</v>
      </c>
      <c r="AG436" s="45">
        <v>0</v>
      </c>
      <c r="AH436" s="94">
        <v>40</v>
      </c>
    </row>
    <row r="437" spans="1:34" ht="18.75" x14ac:dyDescent="0.3">
      <c r="A437" s="132" t="s">
        <v>53</v>
      </c>
      <c r="B437" s="132"/>
      <c r="C437" s="132"/>
      <c r="D437" s="132"/>
      <c r="E437" s="132"/>
      <c r="F437" s="132"/>
      <c r="G437" s="132"/>
      <c r="H437" s="132"/>
      <c r="I437" s="132"/>
      <c r="J437" s="132"/>
      <c r="AG437" s="46"/>
    </row>
    <row r="438" spans="1:34" ht="15.75" x14ac:dyDescent="0.25">
      <c r="A438" s="19" t="s">
        <v>58</v>
      </c>
      <c r="B438" s="60" t="s">
        <v>49</v>
      </c>
      <c r="C438" s="61" t="s">
        <v>50</v>
      </c>
      <c r="D438" s="19" t="s">
        <v>48</v>
      </c>
      <c r="E438" s="60" t="s">
        <v>57</v>
      </c>
      <c r="F438" s="61" t="s">
        <v>50</v>
      </c>
      <c r="G438" s="19" t="s">
        <v>82</v>
      </c>
      <c r="H438" s="60" t="s">
        <v>61</v>
      </c>
      <c r="I438" s="61" t="s">
        <v>50</v>
      </c>
      <c r="J438" s="19" t="s">
        <v>54</v>
      </c>
      <c r="K438" s="83" t="s">
        <v>84</v>
      </c>
      <c r="L438" s="61" t="s">
        <v>50</v>
      </c>
      <c r="M438" s="61" t="s">
        <v>85</v>
      </c>
      <c r="O438" s="174" t="s">
        <v>64</v>
      </c>
      <c r="P438" s="174"/>
      <c r="Q438" s="175" t="s">
        <v>109</v>
      </c>
      <c r="R438" s="175"/>
    </row>
    <row r="439" spans="1:34" ht="24.75" x14ac:dyDescent="0.25">
      <c r="A439" s="61" t="s">
        <v>51</v>
      </c>
      <c r="B439" s="1">
        <f>AA433</f>
        <v>1.8543515323034395E-6</v>
      </c>
      <c r="C439" s="59">
        <f>MAX(AC433+1*L426-F433,0)</f>
        <v>0</v>
      </c>
      <c r="D439" s="62" t="s">
        <v>55</v>
      </c>
      <c r="E439" s="1">
        <f>AA433*AA434</f>
        <v>1.1353910845495988E-9</v>
      </c>
      <c r="F439" s="1">
        <f>MAX(AC434+2*L426-F434,0)</f>
        <v>8.6666666666666856</v>
      </c>
      <c r="G439" s="62" t="s">
        <v>59</v>
      </c>
      <c r="H439" s="1">
        <f>AA433*AA434*AA435</f>
        <v>5.3856273911171058E-13</v>
      </c>
      <c r="I439" s="1">
        <f>AC435+3*L426-F435</f>
        <v>119.33333333333334</v>
      </c>
      <c r="J439" s="62" t="s">
        <v>83</v>
      </c>
      <c r="K439" s="1">
        <f>AA433*AA434*AA435*AA436</f>
        <v>3.781448007957686E-15</v>
      </c>
      <c r="L439" s="1">
        <f>AC436+4*L426-F436</f>
        <v>235.33333333333337</v>
      </c>
      <c r="M439" s="1">
        <f>B439*C439*AH433+E439*F439*AH434+H439*I439*AH435+K439*L439*AH436</f>
        <v>8.4074635026889903E-7</v>
      </c>
      <c r="O439" s="1" t="s">
        <v>27</v>
      </c>
      <c r="P439" s="1">
        <f>2*H424</f>
        <v>3640</v>
      </c>
      <c r="Q439" s="1">
        <f>(K433*(1-P433)*(1-U433)*(1-Z433))+(P433*(1-K433)*(1-U433)*(1-Z433))+(U433*(1-K433)*(1-P433)*(1-Z433))+(Z433*(1-K433)*(1-P433)*(1-U433))</f>
        <v>0.19389466846386108</v>
      </c>
      <c r="R439" s="1">
        <f>Q439*(L$7*(J$5*K$5+L$5)+I$5)</f>
        <v>6833.8175900087836</v>
      </c>
    </row>
    <row r="440" spans="1:34" ht="24.75" x14ac:dyDescent="0.25">
      <c r="A440" s="62" t="s">
        <v>52</v>
      </c>
      <c r="B440" s="1">
        <f>AB433</f>
        <v>0.99999814564846767</v>
      </c>
      <c r="C440" s="59">
        <f>MAX(AC433-F433,0)</f>
        <v>0</v>
      </c>
      <c r="D440" s="62" t="s">
        <v>56</v>
      </c>
      <c r="E440" s="1">
        <f>AA433*AB434+AA434*AB433</f>
        <v>6.141367877060145E-4</v>
      </c>
      <c r="F440" s="1">
        <f>MAX(AC434+1*L426-F434,0)</f>
        <v>0</v>
      </c>
      <c r="G440" s="62" t="s">
        <v>60</v>
      </c>
      <c r="H440" s="1">
        <f>AA433*AA434*AB435+AA434*AA435*AB433+AA433*AA435*AB434</f>
        <v>2.9244521692142596E-7</v>
      </c>
      <c r="I440" s="1">
        <f>AC435+2*L426-F435</f>
        <v>107.33333333333334</v>
      </c>
      <c r="J440" s="62" t="s">
        <v>59</v>
      </c>
      <c r="K440">
        <f>AB433*AA434*AA435*AA436+AB434*AA433*AA435*AA436*+AB435*AA433*AA434*AA436+AB436*AA433*AA434*AA435</f>
        <v>2.0397603164444284E-9</v>
      </c>
      <c r="L440" s="1">
        <f>AC436+3*L426-F436</f>
        <v>223.33333333333337</v>
      </c>
      <c r="M440" s="1">
        <f>B440*C440*AH433+E440*F440*AH434+H440*I440*AH435+K440*L440*AH436</f>
        <v>2.1212928954478512E-3</v>
      </c>
      <c r="O440" s="1" t="s">
        <v>28</v>
      </c>
      <c r="P440" s="1">
        <f>2*H425</f>
        <v>5440</v>
      </c>
      <c r="Q440" s="1">
        <f t="shared" ref="Q440:Q442" si="46">(K434*(1-P434)*(1-U434)*(1-Z434))+(P434*(1-K434)*(1-U434)*(1-Z434))+(U434*(1-K434)*(1-P434)*(1-Z434))+(Z434*(1-K434)*(1-P434)*(1-U434))</f>
        <v>0.46364468761225525</v>
      </c>
      <c r="R440" s="1">
        <f t="shared" ref="R440:R442" si="47">Q440*(L$7*(J$5*K$5+L$5)+I$5)</f>
        <v>16341.157014893935</v>
      </c>
    </row>
    <row r="441" spans="1:34" ht="24.75" x14ac:dyDescent="0.25">
      <c r="A441" s="1"/>
      <c r="B441" s="1"/>
      <c r="C441" s="1"/>
      <c r="D441" s="62" t="s">
        <v>52</v>
      </c>
      <c r="E441" s="1">
        <f>AB433*AB434</f>
        <v>0.99938586207690294</v>
      </c>
      <c r="F441" s="59">
        <f>MAX(AC434-F434,0)</f>
        <v>0</v>
      </c>
      <c r="G441" s="62" t="s">
        <v>56</v>
      </c>
      <c r="H441" s="1">
        <f>AA433*AB434*AB435+AA434*AB433*AB435*+AA435*AB433*AB434</f>
        <v>2.1424523483796628E-6</v>
      </c>
      <c r="I441" s="1">
        <f>AC435+1*L426-F435</f>
        <v>95.333333333333343</v>
      </c>
      <c r="J441" s="62" t="s">
        <v>60</v>
      </c>
      <c r="K441" s="1">
        <f>AA433*AA434*AB435*AB436 + AA433*AA435*AB434*AB436 + AA433*AA436*AB434*AB435 + AA434*AA435*AB433*AB436 + AA434*AA436*AB433*AB435 + AA435*AA436*AB433*AB434</f>
        <v>7.9289070438737152E-6</v>
      </c>
      <c r="L441" s="1">
        <f>AC436+2*L426-F436</f>
        <v>211.33333333333337</v>
      </c>
      <c r="M441" s="1">
        <f>B441*C441*AH433+E441*F441*AH434+H441*I441*AH435+K441*L441*AH436</f>
        <v>8.0710251510762845E-2</v>
      </c>
      <c r="O441" s="1" t="s">
        <v>29</v>
      </c>
      <c r="P441" s="1">
        <f>2*(F426*(J424*K424+L424)+H426)</f>
        <v>28200</v>
      </c>
      <c r="Q441" s="1">
        <f t="shared" si="46"/>
        <v>0.44834447525262466</v>
      </c>
      <c r="R441" s="1">
        <f t="shared" si="47"/>
        <v>15801.901030278756</v>
      </c>
    </row>
    <row r="442" spans="1:34" ht="24.75" x14ac:dyDescent="0.25">
      <c r="A442" s="1"/>
      <c r="B442" s="1"/>
      <c r="C442" s="1"/>
      <c r="D442" s="1"/>
      <c r="E442" s="1"/>
      <c r="F442" s="1"/>
      <c r="G442" s="62" t="s">
        <v>52</v>
      </c>
      <c r="H442" s="1">
        <f>AB433*AB434*AB435</f>
        <v>0.99891181221458336</v>
      </c>
      <c r="I442" s="63">
        <f>AC435-F435</f>
        <v>83.333333333333343</v>
      </c>
      <c r="J442" s="62" t="s">
        <v>56</v>
      </c>
      <c r="K442" s="1">
        <f>AA433*AB434*AB435*AB436+AA434*AB433*AB435*AB436+AA435*AB433*AB434*AB436+AA436*AB433*AB434*AB435</f>
        <v>8.0939857888123277E-3</v>
      </c>
      <c r="L442" s="1">
        <f>AC436+1*L426-F436</f>
        <v>199.33333333333337</v>
      </c>
      <c r="M442" s="1">
        <f>B442*C442*AH433+E442*F442*AH434+H442*I442*AH435+K442*L442*AH436</f>
        <v>5641.7936648875548</v>
      </c>
      <c r="O442" s="1" t="s">
        <v>30</v>
      </c>
      <c r="P442" s="1">
        <v>0</v>
      </c>
      <c r="Q442" s="1">
        <f t="shared" si="46"/>
        <v>0.43928690638593859</v>
      </c>
      <c r="R442" s="1">
        <f t="shared" si="47"/>
        <v>15482.667015572406</v>
      </c>
    </row>
    <row r="443" spans="1:34" ht="30" x14ac:dyDescent="0.25">
      <c r="I443" s="84"/>
      <c r="J443" s="62" t="s">
        <v>52</v>
      </c>
      <c r="K443" s="85">
        <f>AB433*AB434*AB435*AB436</f>
        <v>0.99189808325023943</v>
      </c>
      <c r="L443" s="1">
        <f>AC436+0*L426-F436</f>
        <v>187.33333333333337</v>
      </c>
      <c r="M443" s="1">
        <f>B443*C443*AH433+E443*F443*AH434+H443*I443*AH435+K443*L443*AH436</f>
        <v>7432.6229704884627</v>
      </c>
      <c r="O443" s="64" t="s">
        <v>65</v>
      </c>
      <c r="P443" s="65">
        <f>SUM(P439:P442)</f>
        <v>37280</v>
      </c>
      <c r="Q443" s="96" t="s">
        <v>108</v>
      </c>
      <c r="R443" s="97">
        <f>SUM(R439:R442)</f>
        <v>54459.54265075388</v>
      </c>
    </row>
    <row r="444" spans="1:34" x14ac:dyDescent="0.25">
      <c r="L444" s="176" t="s">
        <v>63</v>
      </c>
      <c r="M444" s="177">
        <f>SUM(M439:M443)</f>
        <v>13074.49946776117</v>
      </c>
    </row>
    <row r="445" spans="1:34" x14ac:dyDescent="0.25">
      <c r="L445" s="176"/>
      <c r="M445" s="177"/>
    </row>
    <row r="446" spans="1:34" x14ac:dyDescent="0.25">
      <c r="A446" s="178" t="s">
        <v>90</v>
      </c>
      <c r="B446" s="178"/>
      <c r="C446" s="178"/>
      <c r="D446" s="178"/>
      <c r="E446" s="178"/>
      <c r="F446" s="178"/>
      <c r="G446" s="178"/>
      <c r="H446" s="178"/>
      <c r="I446" s="178"/>
      <c r="J446" s="178"/>
      <c r="K446" s="178"/>
      <c r="L446" s="178"/>
      <c r="M446" s="178"/>
      <c r="N446" s="178"/>
    </row>
    <row r="447" spans="1:34" ht="15.75" x14ac:dyDescent="0.25">
      <c r="A447" s="87" t="s">
        <v>77</v>
      </c>
      <c r="B447" s="62" t="s">
        <v>49</v>
      </c>
      <c r="C447" s="90" t="s">
        <v>78</v>
      </c>
      <c r="D447" s="62" t="s">
        <v>88</v>
      </c>
      <c r="E447" s="87" t="s">
        <v>75</v>
      </c>
      <c r="F447" s="62" t="s">
        <v>57</v>
      </c>
      <c r="G447" s="90" t="s">
        <v>87</v>
      </c>
      <c r="H447" s="62" t="s">
        <v>88</v>
      </c>
      <c r="I447" s="87" t="s">
        <v>86</v>
      </c>
      <c r="J447" s="62" t="s">
        <v>61</v>
      </c>
      <c r="K447" s="90" t="s">
        <v>103</v>
      </c>
      <c r="L447" s="62" t="s">
        <v>88</v>
      </c>
      <c r="M447" s="87" t="s">
        <v>76</v>
      </c>
      <c r="N447" s="62" t="s">
        <v>84</v>
      </c>
      <c r="O447" s="90" t="s">
        <v>102</v>
      </c>
      <c r="P447" s="62" t="s">
        <v>88</v>
      </c>
    </row>
    <row r="448" spans="1:34" ht="24.75" x14ac:dyDescent="0.25">
      <c r="A448" s="62" t="s">
        <v>51</v>
      </c>
      <c r="B448" s="86">
        <v>1.8543515323034395E-6</v>
      </c>
      <c r="C448" s="86">
        <f>AC433+1*L426</f>
        <v>67</v>
      </c>
      <c r="D448" s="86">
        <f>MAX(B448*1.5*((C448-F433)*500/2),0)</f>
        <v>0</v>
      </c>
      <c r="E448" s="62" t="s">
        <v>55</v>
      </c>
      <c r="F448" s="86">
        <v>1.1353910845495988E-9</v>
      </c>
      <c r="G448" s="86">
        <f>AC434+2*L426</f>
        <v>148.66666666666669</v>
      </c>
      <c r="H448" s="86">
        <f>F448*1.5*((G448-F434)*500/2+(G448-F435)*500+(G448-F436)*500)</f>
        <v>1.1126832628586072E-4</v>
      </c>
      <c r="I448" s="62" t="s">
        <v>59</v>
      </c>
      <c r="J448" s="86">
        <v>5.3856273911171058E-13</v>
      </c>
      <c r="K448" s="86">
        <f>AC435+3*L426</f>
        <v>214.33333333333334</v>
      </c>
      <c r="L448" s="86">
        <f>J448*1.5*((K448-G448)*500/2+(K448-G448)*500)</f>
        <v>3.978632235187761E-8</v>
      </c>
      <c r="M448" s="62" t="s">
        <v>83</v>
      </c>
      <c r="N448" s="86">
        <v>3.781448007957686E-15</v>
      </c>
      <c r="O448" s="86">
        <f>AC436+4*L426</f>
        <v>311.33333333333337</v>
      </c>
      <c r="P448" s="86">
        <f>N448*1.5*((O448-K448)*500/2)</f>
        <v>1.3755017128946085E-10</v>
      </c>
    </row>
    <row r="449" spans="1:22" ht="24.75" x14ac:dyDescent="0.25">
      <c r="A449" s="62" t="s">
        <v>52</v>
      </c>
      <c r="B449" s="86">
        <v>0.99999814564846767</v>
      </c>
      <c r="C449" s="88">
        <f>AC433</f>
        <v>55</v>
      </c>
      <c r="D449" s="86">
        <f>MAX(B449*1.5*((C449-F433)*500/2),0)</f>
        <v>0</v>
      </c>
      <c r="E449" s="62" t="s">
        <v>56</v>
      </c>
      <c r="F449" s="86">
        <v>6.141367877060145E-4</v>
      </c>
      <c r="G449" s="86">
        <f>AC434+1*L426</f>
        <v>136.66666666666669</v>
      </c>
      <c r="H449" s="86">
        <f>F449*1.5*((G449-F435)*500+(G449-F436)*500)</f>
        <v>47.134998456436634</v>
      </c>
      <c r="I449" s="62" t="s">
        <v>60</v>
      </c>
      <c r="J449" s="86">
        <v>2.9244521692142596E-7</v>
      </c>
      <c r="K449" s="86">
        <f>AC435+2*L426</f>
        <v>202.33333333333334</v>
      </c>
      <c r="L449" s="86">
        <f>J449*1.5*((K449-G449)*500/2+(K449-G449)*500)</f>
        <v>2.1604390400070339E-2</v>
      </c>
      <c r="M449" s="62" t="s">
        <v>59</v>
      </c>
      <c r="N449" s="86">
        <v>2.0397603164444284E-9</v>
      </c>
      <c r="O449" s="86">
        <f>AC436+3*L426</f>
        <v>299.33333333333337</v>
      </c>
      <c r="P449" s="86">
        <f>N449*1.5*((O449-K449)*500/2)</f>
        <v>7.4196281510666102E-5</v>
      </c>
    </row>
    <row r="450" spans="1:22" x14ac:dyDescent="0.25">
      <c r="A450" s="86"/>
      <c r="B450" s="86"/>
      <c r="C450" s="89" t="s">
        <v>89</v>
      </c>
      <c r="D450" s="89">
        <f>SUM(D448:D449)</f>
        <v>0</v>
      </c>
      <c r="E450" s="62" t="s">
        <v>52</v>
      </c>
      <c r="F450" s="86">
        <v>0.99938586207690294</v>
      </c>
      <c r="G450" s="86">
        <f>AC434+0*L426</f>
        <v>124.66666666666667</v>
      </c>
      <c r="H450" s="86">
        <f>F450*1.5*((G450-F435)*500+(G450-F436)*500)</f>
        <v>58713.919397018057</v>
      </c>
      <c r="I450" s="62" t="s">
        <v>56</v>
      </c>
      <c r="J450" s="86">
        <v>2.1424523483796628E-6</v>
      </c>
      <c r="K450" s="86">
        <f>AC435+1*L426</f>
        <v>190.33333333333334</v>
      </c>
      <c r="L450" s="86">
        <f>J450*1.5*((K450-G450)*500/2+(K450-G450)*500)</f>
        <v>0.15827366723654759</v>
      </c>
      <c r="M450" s="62" t="s">
        <v>60</v>
      </c>
      <c r="N450" s="86">
        <v>7.9289070438737152E-6</v>
      </c>
      <c r="O450" s="86">
        <f>AC436+2*L426</f>
        <v>287.33333333333337</v>
      </c>
      <c r="P450" s="86">
        <f>N450*1.5*((O450-K450)*500/2)</f>
        <v>0.28841399372090648</v>
      </c>
    </row>
    <row r="451" spans="1:22" x14ac:dyDescent="0.25">
      <c r="A451" s="86"/>
      <c r="B451" s="86"/>
      <c r="C451" s="86"/>
      <c r="D451" s="86"/>
      <c r="E451" s="86"/>
      <c r="F451" s="86"/>
      <c r="G451" s="89" t="s">
        <v>79</v>
      </c>
      <c r="H451" s="89">
        <f>SUM(H448:H450)</f>
        <v>58761.054506742817</v>
      </c>
      <c r="I451" s="62" t="s">
        <v>52</v>
      </c>
      <c r="J451" s="86">
        <v>0.99891181221458336</v>
      </c>
      <c r="K451" s="86">
        <f>AC435+0*L426</f>
        <v>178.33333333333334</v>
      </c>
      <c r="L451" s="86">
        <f>J451*1.5*((K451-G450)*500/2+(K451-G450)*500)</f>
        <v>60309.300662455469</v>
      </c>
      <c r="M451" s="62" t="s">
        <v>56</v>
      </c>
      <c r="N451" s="86">
        <v>8.0939857888123277E-3</v>
      </c>
      <c r="O451" s="86">
        <f>AC436+1*L426</f>
        <v>275.33333333333337</v>
      </c>
      <c r="P451" s="86">
        <f>N451*1.5*((O451-K451)*500/2)</f>
        <v>294.41873306804854</v>
      </c>
    </row>
    <row r="452" spans="1:22" x14ac:dyDescent="0.25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9" t="s">
        <v>79</v>
      </c>
      <c r="L452" s="89">
        <f>SUM(L448:L451)</f>
        <v>60309.48054055289</v>
      </c>
      <c r="M452" s="62" t="s">
        <v>52</v>
      </c>
      <c r="N452" s="86">
        <v>0.99189808325023943</v>
      </c>
      <c r="O452" s="86">
        <f>AC436+0*L426</f>
        <v>263.33333333333337</v>
      </c>
      <c r="P452" s="86">
        <f>N452*1.5*((O452-K451)*500/2)</f>
        <v>31616.751403601393</v>
      </c>
      <c r="Q452" s="179" t="s">
        <v>80</v>
      </c>
      <c r="R452" s="179"/>
      <c r="S452" s="180">
        <f>D450+H451+L452+P453</f>
        <v>150981.99367215528</v>
      </c>
      <c r="T452" s="180"/>
    </row>
    <row r="453" spans="1:22" x14ac:dyDescent="0.25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9" t="s">
        <v>79</v>
      </c>
      <c r="P453" s="89">
        <f>SUM(P448:P452)</f>
        <v>31911.458624859581</v>
      </c>
      <c r="Q453" s="179"/>
      <c r="R453" s="179"/>
      <c r="S453" s="180"/>
      <c r="T453" s="180"/>
    </row>
    <row r="454" spans="1:22" x14ac:dyDescent="0.25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</row>
    <row r="455" spans="1:22" x14ac:dyDescent="0.25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</row>
    <row r="456" spans="1:22" x14ac:dyDescent="0.25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</row>
    <row r="457" spans="1:22" ht="24.75" thickBot="1" x14ac:dyDescent="0.3">
      <c r="O457" s="131" t="s">
        <v>81</v>
      </c>
      <c r="P457" s="131"/>
      <c r="Q457" s="131">
        <f>(R443+P443+M444+S452)/AC436</f>
        <v>971.37735110381118</v>
      </c>
      <c r="R457" s="131"/>
    </row>
    <row r="458" spans="1:22" x14ac:dyDescent="0.25">
      <c r="A458" s="181" t="s">
        <v>117</v>
      </c>
      <c r="B458" s="182"/>
    </row>
    <row r="459" spans="1:22" ht="15.75" thickBot="1" x14ac:dyDescent="0.3">
      <c r="A459" s="183"/>
      <c r="B459" s="184"/>
    </row>
    <row r="460" spans="1:22" ht="21" x14ac:dyDescent="0.35">
      <c r="A460" s="185" t="s">
        <v>14</v>
      </c>
      <c r="B460" s="185"/>
      <c r="C460" s="165"/>
      <c r="D460" s="165"/>
      <c r="E460" s="165"/>
      <c r="F460" s="165"/>
      <c r="G460" s="165"/>
      <c r="H460" s="165"/>
      <c r="I460" s="165"/>
      <c r="J460" s="165"/>
      <c r="K460" s="165"/>
      <c r="L460" s="165"/>
      <c r="M460" s="165"/>
      <c r="O460" s="166" t="s">
        <v>72</v>
      </c>
      <c r="P460" s="166"/>
      <c r="Q460" s="166"/>
      <c r="R460" s="166"/>
      <c r="S460" s="166"/>
      <c r="T460" s="166"/>
      <c r="U460" s="166"/>
      <c r="V460" s="166"/>
    </row>
    <row r="461" spans="1:22" ht="36" x14ac:dyDescent="0.25">
      <c r="A461" s="4" t="s">
        <v>15</v>
      </c>
      <c r="B461" s="4" t="s">
        <v>16</v>
      </c>
      <c r="C461" s="4" t="s">
        <v>31</v>
      </c>
      <c r="D461" s="6" t="s">
        <v>17</v>
      </c>
      <c r="E461" s="6" t="s">
        <v>18</v>
      </c>
      <c r="F461" s="6" t="s">
        <v>19</v>
      </c>
      <c r="G461" s="6" t="s">
        <v>20</v>
      </c>
      <c r="H461" s="6" t="s">
        <v>21</v>
      </c>
      <c r="I461" s="6" t="s">
        <v>22</v>
      </c>
      <c r="J461" s="6" t="s">
        <v>23</v>
      </c>
      <c r="K461" s="6" t="s">
        <v>24</v>
      </c>
      <c r="L461" s="6" t="s">
        <v>25</v>
      </c>
      <c r="M461" s="6" t="s">
        <v>26</v>
      </c>
      <c r="N461" s="8"/>
      <c r="O461" s="167" t="s">
        <v>32</v>
      </c>
      <c r="P461" s="167" t="s">
        <v>35</v>
      </c>
      <c r="Q461" s="167" t="s">
        <v>66</v>
      </c>
      <c r="R461" s="99" t="s">
        <v>67</v>
      </c>
      <c r="S461" s="99" t="s">
        <v>68</v>
      </c>
      <c r="T461" s="167" t="s">
        <v>69</v>
      </c>
      <c r="U461" s="71" t="s">
        <v>33</v>
      </c>
      <c r="V461" s="99" t="s">
        <v>70</v>
      </c>
    </row>
    <row r="462" spans="1:22" x14ac:dyDescent="0.25">
      <c r="A462" s="3" t="s">
        <v>27</v>
      </c>
      <c r="B462" s="3">
        <v>0</v>
      </c>
      <c r="C462" s="3">
        <v>0.3</v>
      </c>
      <c r="D462" s="3">
        <v>243</v>
      </c>
      <c r="E462" s="3">
        <v>1.73</v>
      </c>
      <c r="F462" s="3">
        <v>5</v>
      </c>
      <c r="G462" s="169">
        <v>12</v>
      </c>
      <c r="H462" s="3">
        <v>1820</v>
      </c>
      <c r="I462" s="169">
        <v>19645</v>
      </c>
      <c r="J462" s="3">
        <v>20</v>
      </c>
      <c r="K462" s="3">
        <v>40</v>
      </c>
      <c r="L462" s="3">
        <v>500</v>
      </c>
      <c r="M462" s="3">
        <v>1000</v>
      </c>
      <c r="O462" s="168"/>
      <c r="P462" s="168"/>
      <c r="Q462" s="168"/>
      <c r="R462" s="72" t="s">
        <v>71</v>
      </c>
      <c r="S462" s="72" t="s">
        <v>71</v>
      </c>
      <c r="T462" s="168"/>
      <c r="U462" s="73">
        <v>500</v>
      </c>
      <c r="V462" s="3">
        <v>1.5</v>
      </c>
    </row>
    <row r="463" spans="1:22" x14ac:dyDescent="0.25">
      <c r="A463" s="3" t="s">
        <v>28</v>
      </c>
      <c r="B463" s="3">
        <v>0</v>
      </c>
      <c r="C463" s="3">
        <v>0.3</v>
      </c>
      <c r="D463" s="3">
        <v>254</v>
      </c>
      <c r="E463" s="3">
        <v>1.88</v>
      </c>
      <c r="F463" s="3">
        <v>3</v>
      </c>
      <c r="G463" s="170"/>
      <c r="H463" s="3">
        <v>2720</v>
      </c>
      <c r="I463" s="170"/>
      <c r="J463" s="5"/>
      <c r="K463" s="5"/>
      <c r="L463" s="5"/>
      <c r="M463" s="5"/>
      <c r="O463" s="74">
        <v>1</v>
      </c>
      <c r="P463" s="74">
        <v>106</v>
      </c>
      <c r="Q463" s="74">
        <v>110</v>
      </c>
      <c r="R463" s="74">
        <v>6</v>
      </c>
      <c r="S463" s="74">
        <v>5</v>
      </c>
      <c r="T463" s="74">
        <f>R463*$U$5/60+S463</f>
        <v>55</v>
      </c>
      <c r="U463" s="75"/>
    </row>
    <row r="464" spans="1:22" x14ac:dyDescent="0.25">
      <c r="A464" s="3" t="s">
        <v>29</v>
      </c>
      <c r="B464" s="3">
        <v>0</v>
      </c>
      <c r="C464" s="3">
        <v>0.3</v>
      </c>
      <c r="D464" s="3">
        <v>143</v>
      </c>
      <c r="E464" s="3">
        <v>2.4300000000000002</v>
      </c>
      <c r="F464" s="3">
        <v>8</v>
      </c>
      <c r="G464" s="170"/>
      <c r="H464" s="3">
        <v>3700</v>
      </c>
      <c r="I464" s="170"/>
      <c r="J464" s="5"/>
      <c r="K464" s="140" t="s">
        <v>73</v>
      </c>
      <c r="L464" s="141">
        <v>12</v>
      </c>
      <c r="M464" s="140" t="s">
        <v>74</v>
      </c>
      <c r="N464" s="141">
        <v>19645</v>
      </c>
      <c r="O464" s="74">
        <v>2</v>
      </c>
      <c r="P464" s="74">
        <v>76</v>
      </c>
      <c r="Q464" s="74">
        <v>40</v>
      </c>
      <c r="R464" s="74">
        <v>9</v>
      </c>
      <c r="S464" s="74">
        <v>2</v>
      </c>
      <c r="T464" s="74">
        <f t="shared" ref="T464:T466" si="48">R464*$U$5/60+S464</f>
        <v>77</v>
      </c>
      <c r="U464" s="75"/>
    </row>
    <row r="465" spans="1:34" x14ac:dyDescent="0.25">
      <c r="A465" s="3" t="s">
        <v>30</v>
      </c>
      <c r="B465" s="3">
        <v>0</v>
      </c>
      <c r="C465" s="3">
        <v>0.3</v>
      </c>
      <c r="D465" s="3">
        <v>449</v>
      </c>
      <c r="E465" s="3">
        <v>2.5299999999999998</v>
      </c>
      <c r="F465" s="3">
        <v>4</v>
      </c>
      <c r="G465" s="171"/>
      <c r="H465" s="3">
        <v>4320</v>
      </c>
      <c r="I465" s="171"/>
      <c r="J465" s="5"/>
      <c r="K465" s="140"/>
      <c r="L465" s="141"/>
      <c r="M465" s="140"/>
      <c r="N465" s="141"/>
      <c r="O465" s="74">
        <v>3</v>
      </c>
      <c r="P465" s="74">
        <v>95</v>
      </c>
      <c r="Q465" s="74">
        <v>67</v>
      </c>
      <c r="R465" s="74">
        <v>5</v>
      </c>
      <c r="S465" s="74">
        <v>4</v>
      </c>
      <c r="T465" s="74">
        <f t="shared" si="48"/>
        <v>45.666666666666664</v>
      </c>
      <c r="U465" s="75"/>
    </row>
    <row r="466" spans="1:34" ht="15.75" thickBo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O466" s="74">
        <v>4</v>
      </c>
      <c r="P466" s="74">
        <v>140</v>
      </c>
      <c r="Q466" s="94">
        <v>85</v>
      </c>
      <c r="R466" s="94">
        <v>8</v>
      </c>
      <c r="S466" s="94">
        <v>3</v>
      </c>
      <c r="T466" s="74">
        <f t="shared" si="48"/>
        <v>69.666666666666671</v>
      </c>
    </row>
    <row r="467" spans="1:34" ht="15" customHeight="1" x14ac:dyDescent="0.25">
      <c r="A467" s="172" t="s">
        <v>104</v>
      </c>
      <c r="B467" s="144" t="s">
        <v>105</v>
      </c>
      <c r="C467" s="144"/>
      <c r="D467" s="144"/>
      <c r="E467" s="144"/>
      <c r="F467" s="20" t="s">
        <v>27</v>
      </c>
      <c r="G467" s="20" t="s">
        <v>28</v>
      </c>
      <c r="H467" s="20" t="s">
        <v>29</v>
      </c>
      <c r="I467" s="20" t="s">
        <v>30</v>
      </c>
    </row>
    <row r="468" spans="1:34" ht="15.75" customHeight="1" thickBot="1" x14ac:dyDescent="0.3">
      <c r="A468" s="173"/>
      <c r="B468" s="145"/>
      <c r="C468" s="145"/>
      <c r="D468" s="145"/>
      <c r="E468" s="145"/>
      <c r="F468" s="20">
        <v>84</v>
      </c>
      <c r="G468" s="26">
        <v>84</v>
      </c>
      <c r="H468" s="26">
        <v>84</v>
      </c>
      <c r="I468" s="26">
        <v>252</v>
      </c>
    </row>
    <row r="469" spans="1:34" ht="15.75" customHeight="1" thickBot="1" x14ac:dyDescent="0.3">
      <c r="A469" s="173"/>
      <c r="B469" s="145"/>
      <c r="C469" s="145"/>
      <c r="D469" s="145"/>
      <c r="E469" s="145"/>
      <c r="F469" s="7"/>
      <c r="G469" s="146" t="s">
        <v>27</v>
      </c>
      <c r="H469" s="147"/>
      <c r="I469" s="147"/>
      <c r="J469" s="147"/>
      <c r="K469" s="148"/>
      <c r="L469" s="149" t="s">
        <v>28</v>
      </c>
      <c r="M469" s="150"/>
      <c r="N469" s="150"/>
      <c r="O469" s="150"/>
      <c r="P469" s="151"/>
      <c r="Q469" s="152" t="s">
        <v>29</v>
      </c>
      <c r="R469" s="153"/>
      <c r="S469" s="153"/>
      <c r="T469" s="153"/>
      <c r="U469" s="154"/>
      <c r="V469" s="155" t="s">
        <v>30</v>
      </c>
      <c r="W469" s="156"/>
      <c r="X469" s="156"/>
      <c r="Y469" s="156"/>
      <c r="Z469" s="157"/>
      <c r="AA469" s="158" t="s">
        <v>42</v>
      </c>
      <c r="AB469" s="159"/>
      <c r="AC469" s="160" t="s">
        <v>44</v>
      </c>
      <c r="AD469" s="162" t="s">
        <v>47</v>
      </c>
      <c r="AE469" s="163"/>
      <c r="AF469" s="163"/>
      <c r="AG469" s="164"/>
      <c r="AH469" s="138" t="s">
        <v>62</v>
      </c>
    </row>
    <row r="470" spans="1:34" ht="36.75" x14ac:dyDescent="0.25">
      <c r="A470" s="21" t="s">
        <v>32</v>
      </c>
      <c r="B470" s="22" t="s">
        <v>37</v>
      </c>
      <c r="C470" s="23" t="s">
        <v>33</v>
      </c>
      <c r="D470" s="22" t="s">
        <v>38</v>
      </c>
      <c r="E470" s="22" t="s">
        <v>34</v>
      </c>
      <c r="F470" s="25" t="s">
        <v>35</v>
      </c>
      <c r="G470" s="27" t="s">
        <v>39</v>
      </c>
      <c r="H470" s="10" t="s">
        <v>40</v>
      </c>
      <c r="I470" s="10" t="s">
        <v>45</v>
      </c>
      <c r="J470" s="10" t="s">
        <v>46</v>
      </c>
      <c r="K470" s="28" t="s">
        <v>41</v>
      </c>
      <c r="L470" s="30" t="s">
        <v>39</v>
      </c>
      <c r="M470" s="13" t="s">
        <v>40</v>
      </c>
      <c r="N470" s="13" t="s">
        <v>45</v>
      </c>
      <c r="O470" s="13" t="s">
        <v>46</v>
      </c>
      <c r="P470" s="31" t="s">
        <v>41</v>
      </c>
      <c r="Q470" s="33" t="s">
        <v>39</v>
      </c>
      <c r="R470" s="12" t="s">
        <v>40</v>
      </c>
      <c r="S470" s="12" t="s">
        <v>45</v>
      </c>
      <c r="T470" s="12" t="s">
        <v>46</v>
      </c>
      <c r="U470" s="34" t="s">
        <v>41</v>
      </c>
      <c r="V470" s="36" t="s">
        <v>39</v>
      </c>
      <c r="W470" s="11" t="s">
        <v>40</v>
      </c>
      <c r="X470" s="11" t="s">
        <v>45</v>
      </c>
      <c r="Y470" s="11" t="s">
        <v>46</v>
      </c>
      <c r="Z470" s="37" t="s">
        <v>41</v>
      </c>
      <c r="AA470" s="39" t="s">
        <v>41</v>
      </c>
      <c r="AB470" s="40" t="s">
        <v>43</v>
      </c>
      <c r="AC470" s="161"/>
      <c r="AD470" s="43" t="s">
        <v>27</v>
      </c>
      <c r="AE470" s="1" t="s">
        <v>28</v>
      </c>
      <c r="AF470" s="1" t="s">
        <v>29</v>
      </c>
      <c r="AG470" s="1" t="s">
        <v>30</v>
      </c>
      <c r="AH470" s="139"/>
    </row>
    <row r="471" spans="1:34" x14ac:dyDescent="0.25">
      <c r="A471" s="24">
        <v>2</v>
      </c>
      <c r="B471" s="9">
        <v>9</v>
      </c>
      <c r="C471" s="9">
        <v>500</v>
      </c>
      <c r="D471" s="9">
        <v>2</v>
      </c>
      <c r="E471" s="48">
        <f>B471*C471/60+D471</f>
        <v>77</v>
      </c>
      <c r="F471" s="100">
        <v>76</v>
      </c>
      <c r="G471" s="49">
        <f>B$5*(1-AD471*C$5)</f>
        <v>0</v>
      </c>
      <c r="H471" s="50">
        <f>G471+E471</f>
        <v>77</v>
      </c>
      <c r="I471" s="15">
        <f>(H471/D$5)^E$5</f>
        <v>0.13693992990275231</v>
      </c>
      <c r="J471" s="15">
        <f>(G471/D$5)^E$5</f>
        <v>0</v>
      </c>
      <c r="K471" s="29">
        <f>1-EXP(J471-I471)</f>
        <v>0.1279773929583623</v>
      </c>
      <c r="L471" s="51">
        <f>B$6*(1-AE471*C$6)</f>
        <v>0</v>
      </c>
      <c r="M471" s="52">
        <f>L471+E471</f>
        <v>77</v>
      </c>
      <c r="N471" s="17">
        <f>(M471/D$6)^E$6</f>
        <v>0.10605109964467559</v>
      </c>
      <c r="O471" s="17">
        <f>(L471/D$6)^E$6</f>
        <v>0</v>
      </c>
      <c r="P471" s="32">
        <f>1-EXP(O471-N471)</f>
        <v>0.10062131102974814</v>
      </c>
      <c r="Q471" s="53">
        <f>B$7*(1-AF471*C$7)</f>
        <v>0</v>
      </c>
      <c r="R471" s="54">
        <f>Q471+E471</f>
        <v>77</v>
      </c>
      <c r="S471" s="16">
        <f>(R471/D$7)^E$7</f>
        <v>0.2221804751105394</v>
      </c>
      <c r="T471" s="16">
        <f>(Q471/D$7)^E$7</f>
        <v>0</v>
      </c>
      <c r="U471" s="35">
        <f>1-EXP(T471-S471)</f>
        <v>0.19922916791162293</v>
      </c>
      <c r="V471" s="55">
        <f>B$8*(1-AG471*C$8)</f>
        <v>0</v>
      </c>
      <c r="W471" s="56">
        <f>V471+E471</f>
        <v>77</v>
      </c>
      <c r="X471" s="18">
        <f>(W471/D$8)^E$8</f>
        <v>1.1551497592884551E-2</v>
      </c>
      <c r="Y471" s="18">
        <f>(V471/D$8)^E$8</f>
        <v>0</v>
      </c>
      <c r="Z471" s="38">
        <f>1-EXP(Y471-X471)</f>
        <v>1.1485035204098715E-2</v>
      </c>
      <c r="AA471" s="41">
        <f>K471*P471*U471*Z471</f>
        <v>2.9465138194053318E-5</v>
      </c>
      <c r="AB471" s="42">
        <f>1-AA471</f>
        <v>0.99997053486180598</v>
      </c>
      <c r="AC471" s="47">
        <f>(AD471*F$5+AE471*F$6+AF471*F$7+AG471*F$8)+E471</f>
        <v>77</v>
      </c>
      <c r="AD471" s="43">
        <v>0</v>
      </c>
      <c r="AE471" s="1">
        <v>0</v>
      </c>
      <c r="AF471" s="1">
        <v>0</v>
      </c>
      <c r="AG471" s="1">
        <v>0</v>
      </c>
      <c r="AH471" s="74">
        <v>40</v>
      </c>
    </row>
    <row r="472" spans="1:34" x14ac:dyDescent="0.25">
      <c r="A472" s="76">
        <v>1</v>
      </c>
      <c r="B472" s="58">
        <v>6</v>
      </c>
      <c r="C472" s="9">
        <v>500</v>
      </c>
      <c r="D472" s="58">
        <v>5</v>
      </c>
      <c r="E472" s="48">
        <f t="shared" ref="E472:E474" si="49">B472*C472/60+D472</f>
        <v>55</v>
      </c>
      <c r="F472" s="100">
        <v>106</v>
      </c>
      <c r="G472" s="49">
        <f>H471*(1-AD472*C$5)</f>
        <v>77</v>
      </c>
      <c r="H472" s="50">
        <f>G472+E472</f>
        <v>132</v>
      </c>
      <c r="I472" s="15">
        <f>(H472/D$5)^E$5</f>
        <v>0.34793173894508389</v>
      </c>
      <c r="J472" s="15">
        <f>(G472/D$5)^E$5</f>
        <v>0.13693992990275231</v>
      </c>
      <c r="K472" s="29">
        <f>1-EXP(J472-I472)</f>
        <v>0.19021930026645628</v>
      </c>
      <c r="L472" s="51">
        <f>M471*(1-AE472*C$6)</f>
        <v>77</v>
      </c>
      <c r="M472" s="52">
        <f>L472+E472</f>
        <v>132</v>
      </c>
      <c r="N472" s="17">
        <f>(M472/D$6)^E$6</f>
        <v>0.29214038913862722</v>
      </c>
      <c r="O472" s="17">
        <f>(L472/D$6)^E$6</f>
        <v>0.10605109964467559</v>
      </c>
      <c r="P472" s="32">
        <f>1-EXP(O472-N472)</f>
        <v>0.16980053641757786</v>
      </c>
      <c r="Q472" s="53">
        <f>R471*(1-AF472*C$7)</f>
        <v>77</v>
      </c>
      <c r="R472" s="54">
        <f>Q472+E472</f>
        <v>132</v>
      </c>
      <c r="S472" s="16">
        <f>(R472/D$7)^E$7</f>
        <v>0.82324306668270808</v>
      </c>
      <c r="T472" s="16">
        <f>(Q472/D$7)^E$7</f>
        <v>0.2221804751105394</v>
      </c>
      <c r="U472" s="35">
        <f>1-EXP(T472-S472)</f>
        <v>0.45177121680306542</v>
      </c>
      <c r="V472" s="55">
        <f>W471*(1-AG472*C$8)</f>
        <v>77</v>
      </c>
      <c r="W472" s="56">
        <f>V472+E472</f>
        <v>132</v>
      </c>
      <c r="X472" s="18">
        <f>(W472/D$8)^E$8</f>
        <v>4.5171946303006208E-2</v>
      </c>
      <c r="Y472" s="18">
        <f>(V472/D$8)^E$8</f>
        <v>1.1551497592884551E-2</v>
      </c>
      <c r="Z472" s="38">
        <f>1-EXP(Y472-X472)</f>
        <v>3.3061562270589318E-2</v>
      </c>
      <c r="AA472" s="41">
        <f>K472*P472*U472*Z472</f>
        <v>4.8243140003936076E-4</v>
      </c>
      <c r="AB472" s="42">
        <f>1-AA472</f>
        <v>0.99951756859996066</v>
      </c>
      <c r="AC472" s="47">
        <f>AF472*F$7+E472+AC471</f>
        <v>132</v>
      </c>
      <c r="AD472" s="43">
        <v>0</v>
      </c>
      <c r="AE472" s="1">
        <v>0</v>
      </c>
      <c r="AF472" s="1">
        <v>0</v>
      </c>
      <c r="AG472" s="1">
        <v>0</v>
      </c>
      <c r="AH472" s="74">
        <v>110</v>
      </c>
    </row>
    <row r="473" spans="1:34" x14ac:dyDescent="0.25">
      <c r="A473" s="24">
        <v>3</v>
      </c>
      <c r="B473" s="9">
        <v>5</v>
      </c>
      <c r="C473" s="58">
        <v>500</v>
      </c>
      <c r="D473" s="58">
        <v>4</v>
      </c>
      <c r="E473" s="48">
        <f t="shared" si="49"/>
        <v>45.666666666666664</v>
      </c>
      <c r="F473" s="100">
        <v>95</v>
      </c>
      <c r="G473" s="68">
        <f>H472*(1-AD473*C$5)</f>
        <v>92.399999999999991</v>
      </c>
      <c r="H473" s="69">
        <f>G473+E473</f>
        <v>138.06666666666666</v>
      </c>
      <c r="I473" s="70">
        <f>(H473/D$5)^E$5</f>
        <v>0.37605800658011651</v>
      </c>
      <c r="J473" s="70">
        <f>(G473/D$5)^E$5</f>
        <v>0.18772134485664987</v>
      </c>
      <c r="K473" s="29">
        <f>1-EXP(J473-I473)</f>
        <v>0.17166420866995746</v>
      </c>
      <c r="L473" s="51">
        <f>M472*(1-AE473*C$6)</f>
        <v>92.399999999999991</v>
      </c>
      <c r="M473" s="52">
        <f>L473+E473</f>
        <v>138.06666666666666</v>
      </c>
      <c r="N473" s="17">
        <f>(M473/D$6)^E$6</f>
        <v>0.31789202412323359</v>
      </c>
      <c r="O473" s="17">
        <f>(L473/D$6)^E$6</f>
        <v>0.14940871089337018</v>
      </c>
      <c r="P473" s="32">
        <f>1-EXP(O473-N473)</f>
        <v>0.15505463728965418</v>
      </c>
      <c r="Q473" s="53">
        <f>R472*(1-AF473*C$7)</f>
        <v>92.399999999999991</v>
      </c>
      <c r="R473" s="54">
        <f>Q473+E473</f>
        <v>138.06666666666666</v>
      </c>
      <c r="S473" s="16">
        <f>(R473/D$7)^E$7</f>
        <v>0.91822541626396692</v>
      </c>
      <c r="T473" s="16">
        <f>(Q473/D$7)^E$7</f>
        <v>0.34603204471909926</v>
      </c>
      <c r="U473" s="35">
        <f>1-EXP(T473-S473)</f>
        <v>0.43571360936248182</v>
      </c>
      <c r="V473" s="55">
        <f>W472*(1-AG473*C$8)</f>
        <v>132</v>
      </c>
      <c r="W473" s="56">
        <f>V473+E473</f>
        <v>177.66666666666666</v>
      </c>
      <c r="X473" s="18">
        <f>(W473/D$8)^E$8</f>
        <v>9.5789922449281015E-2</v>
      </c>
      <c r="Y473" s="18">
        <f>(V473/D$8)^E$8</f>
        <v>4.5171946303006208E-2</v>
      </c>
      <c r="Z473" s="38">
        <f>1-EXP(Y473-X473)</f>
        <v>4.9358230996020658E-2</v>
      </c>
      <c r="AA473" s="41">
        <f>K473*P473*U473*Z473</f>
        <v>5.724337437850158E-4</v>
      </c>
      <c r="AB473" s="42">
        <f>1-AA473</f>
        <v>0.99942756625621498</v>
      </c>
      <c r="AC473" s="47">
        <f>(AF473*F$7)+E473+AC472</f>
        <v>185.66666666666666</v>
      </c>
      <c r="AD473" s="77">
        <v>1</v>
      </c>
      <c r="AE473" s="78">
        <v>1</v>
      </c>
      <c r="AF473" s="78">
        <v>1</v>
      </c>
      <c r="AG473" s="78">
        <v>0</v>
      </c>
      <c r="AH473" s="74">
        <v>67</v>
      </c>
    </row>
    <row r="474" spans="1:34" ht="15.75" thickBot="1" x14ac:dyDescent="0.3">
      <c r="A474" s="57">
        <v>4</v>
      </c>
      <c r="B474" s="58">
        <v>8</v>
      </c>
      <c r="C474" s="58">
        <v>500</v>
      </c>
      <c r="D474" s="9">
        <v>3</v>
      </c>
      <c r="E474" s="48">
        <f t="shared" si="49"/>
        <v>69.666666666666671</v>
      </c>
      <c r="F474" s="100">
        <v>140</v>
      </c>
      <c r="G474" s="68">
        <f>H473*(1-AD474*C$5)</f>
        <v>96.646666666666661</v>
      </c>
      <c r="H474" s="69">
        <f>G474+E474</f>
        <v>166.31333333333333</v>
      </c>
      <c r="I474" s="70">
        <f>(H474/D$5)^E$5</f>
        <v>0.51892545440479432</v>
      </c>
      <c r="J474" s="70">
        <f>(G474/D$5)^E$5</f>
        <v>0.20289645018695066</v>
      </c>
      <c r="K474" s="29">
        <f>1-EXP(J474-I474)</f>
        <v>0.27096169532483416</v>
      </c>
      <c r="L474" s="51">
        <f>M473*(1-AE474*C$6)</f>
        <v>96.646666666666661</v>
      </c>
      <c r="M474" s="52">
        <f>L474+E474</f>
        <v>166.31333333333333</v>
      </c>
      <c r="N474" s="17">
        <f>(M474/D$6)^E$6</f>
        <v>0.45108200336097515</v>
      </c>
      <c r="O474" s="17">
        <f>(L474/D$6)^E$6</f>
        <v>0.16257881242500377</v>
      </c>
      <c r="P474" s="32">
        <f>1-EXP(O474-N474)</f>
        <v>0.25061558609399515</v>
      </c>
      <c r="Q474" s="53">
        <f>R473*(1-AF474*C$7)</f>
        <v>96.646666666666661</v>
      </c>
      <c r="R474" s="54">
        <f>Q474+E474</f>
        <v>166.31333333333333</v>
      </c>
      <c r="S474" s="16">
        <f>(R474/D$7)^E$7</f>
        <v>1.443398348879422</v>
      </c>
      <c r="T474" s="16">
        <f>(Q474/D$7)^E$7</f>
        <v>0.3859557780221517</v>
      </c>
      <c r="U474" s="35">
        <f>1-EXP(T474-S474)</f>
        <v>0.65265701953009181</v>
      </c>
      <c r="V474" s="55">
        <f>W473*(1-AG474*C$8)</f>
        <v>177.66666666666666</v>
      </c>
      <c r="W474" s="56">
        <f>V474+E474</f>
        <v>247.33333333333331</v>
      </c>
      <c r="X474" s="18">
        <f>(W474/D$8)^E$8</f>
        <v>0.221218713919872</v>
      </c>
      <c r="Y474" s="18">
        <f>(V474/D$8)^E$8</f>
        <v>9.5789922449281015E-2</v>
      </c>
      <c r="Z474" s="38">
        <f>1-EXP(Y474-X474)</f>
        <v>0.11788142344277242</v>
      </c>
      <c r="AA474" s="41">
        <f>K474*P474*U474*Z474</f>
        <v>5.2245195959752608E-3</v>
      </c>
      <c r="AB474" s="42">
        <f>1-AA474</f>
        <v>0.99477548040402475</v>
      </c>
      <c r="AC474" s="47">
        <f>(AF474*F$7)+E474+AC473</f>
        <v>263.33333333333331</v>
      </c>
      <c r="AD474" s="80">
        <v>1</v>
      </c>
      <c r="AE474" s="45">
        <v>1</v>
      </c>
      <c r="AF474" s="81">
        <v>1</v>
      </c>
      <c r="AG474" s="45">
        <v>0</v>
      </c>
      <c r="AH474" s="94">
        <v>85</v>
      </c>
    </row>
    <row r="475" spans="1:34" ht="18.75" x14ac:dyDescent="0.3">
      <c r="A475" s="132" t="s">
        <v>53</v>
      </c>
      <c r="B475" s="132"/>
      <c r="C475" s="132"/>
      <c r="D475" s="132"/>
      <c r="E475" s="132"/>
      <c r="F475" s="132"/>
      <c r="G475" s="132"/>
      <c r="H475" s="132"/>
      <c r="I475" s="132"/>
      <c r="J475" s="132"/>
      <c r="AG475" s="46"/>
    </row>
    <row r="476" spans="1:34" ht="15.75" x14ac:dyDescent="0.25">
      <c r="A476" s="19" t="s">
        <v>48</v>
      </c>
      <c r="B476" s="60" t="s">
        <v>49</v>
      </c>
      <c r="C476" s="61" t="s">
        <v>50</v>
      </c>
      <c r="D476" s="19" t="s">
        <v>58</v>
      </c>
      <c r="E476" s="60" t="s">
        <v>57</v>
      </c>
      <c r="F476" s="61" t="s">
        <v>50</v>
      </c>
      <c r="G476" s="19" t="s">
        <v>54</v>
      </c>
      <c r="H476" s="60" t="s">
        <v>61</v>
      </c>
      <c r="I476" s="61" t="s">
        <v>50</v>
      </c>
      <c r="J476" s="19" t="s">
        <v>82</v>
      </c>
      <c r="K476" s="83" t="s">
        <v>84</v>
      </c>
      <c r="L476" s="61" t="s">
        <v>50</v>
      </c>
      <c r="M476" s="61" t="s">
        <v>85</v>
      </c>
      <c r="O476" s="174" t="s">
        <v>64</v>
      </c>
      <c r="P476" s="174"/>
      <c r="Q476" s="175" t="s">
        <v>109</v>
      </c>
      <c r="R476" s="175"/>
    </row>
    <row r="477" spans="1:34" ht="24.75" x14ac:dyDescent="0.25">
      <c r="A477" s="61" t="s">
        <v>51</v>
      </c>
      <c r="B477" s="1">
        <f>AA471</f>
        <v>2.9465138194053318E-5</v>
      </c>
      <c r="C477" s="59">
        <f>MAX(AC471+1*L464-F471,0)</f>
        <v>13</v>
      </c>
      <c r="D477" s="62" t="s">
        <v>55</v>
      </c>
      <c r="E477" s="1">
        <f>AA471*AA472</f>
        <v>1.4214907871310384E-8</v>
      </c>
      <c r="F477" s="1">
        <f>MAX(AC472+2*L464-F472,0)</f>
        <v>50</v>
      </c>
      <c r="G477" s="62" t="s">
        <v>59</v>
      </c>
      <c r="H477" s="1">
        <f>AA471*AA472*AA473</f>
        <v>8.1370929303332923E-12</v>
      </c>
      <c r="I477" s="1">
        <f>AC473+3*L464-F473</f>
        <v>126.66666666666666</v>
      </c>
      <c r="J477" s="62" t="s">
        <v>83</v>
      </c>
      <c r="K477" s="1">
        <f>AA471*AA472*AA473*AA474</f>
        <v>4.2512401468798046E-14</v>
      </c>
      <c r="L477" s="1">
        <f>AC474+4*L464-F474</f>
        <v>171.33333333333331</v>
      </c>
      <c r="M477" s="1">
        <f>B477*C477*AH471+E477*F477*AH472+H477*I477*AH473+K477*L477*AH474</f>
        <v>1.540012353011754E-2</v>
      </c>
      <c r="O477" s="1" t="s">
        <v>27</v>
      </c>
      <c r="P477" s="1">
        <f>2*H462</f>
        <v>3640</v>
      </c>
      <c r="Q477" s="1">
        <f>(K471*(1-P471)*(1-U471)*(1-Z471))+(P471*(1-K471)*(1-U471)*(1-Z471))+(U471*(1-K471)*(1-P471)*(1-Z471))+(Z471*(1-K471)*(1-P471)*(1-U471))</f>
        <v>0.32223571239848364</v>
      </c>
      <c r="R477" s="1">
        <f>Q477*(L$7*(J$5*K$5+L$5)+I$5)</f>
        <v>11357.197683484555</v>
      </c>
    </row>
    <row r="478" spans="1:34" ht="24.75" x14ac:dyDescent="0.25">
      <c r="A478" s="62" t="s">
        <v>52</v>
      </c>
      <c r="B478" s="1">
        <f>AB471</f>
        <v>0.99997053486180598</v>
      </c>
      <c r="C478" s="59">
        <f>MAX(AC471-F471,0)</f>
        <v>1</v>
      </c>
      <c r="D478" s="62" t="s">
        <v>56</v>
      </c>
      <c r="E478" s="1">
        <f>AA471*AB472+AA472*AB471</f>
        <v>5.118681084176715E-4</v>
      </c>
      <c r="F478" s="1">
        <f>MAX(AC472+1*L464-F472,0)</f>
        <v>38</v>
      </c>
      <c r="G478" s="62" t="s">
        <v>60</v>
      </c>
      <c r="H478" s="1">
        <f>AA471*AA472*AB473+AA472*AA473*AB471+AA471*AA473*AB472</f>
        <v>3.0721734840406202E-7</v>
      </c>
      <c r="I478" s="1">
        <f>AC473+2*L464-F473</f>
        <v>114.66666666666666</v>
      </c>
      <c r="J478" s="62" t="s">
        <v>59</v>
      </c>
      <c r="K478">
        <f>AB471*AA472*AA473*AA474+AB472*AA471*AA473*AA474*+AB473*AA471*AA472*AA474+AB474*AA471*AA472*AA473</f>
        <v>1.4508554647722677E-9</v>
      </c>
      <c r="L478" s="1">
        <f>AC474+3*L464-F474</f>
        <v>159.33333333333331</v>
      </c>
      <c r="M478" s="1">
        <f>B478*C478*AH471+E478*F478*AH472+H478*I478*AH473+K478*L478*AH474</f>
        <v>42.140809985559294</v>
      </c>
      <c r="O478" s="1" t="s">
        <v>28</v>
      </c>
      <c r="P478" s="1">
        <f>2*H463</f>
        <v>5440</v>
      </c>
      <c r="Q478" s="1">
        <f t="shared" ref="Q478:Q480" si="50">(K472*(1-P472)*(1-U472)*(1-Z472))+(P472*(1-K472)*(1-U472)*(1-Z472))+(U472*(1-K472)*(1-P472)*(1-Z472))+(Z472*(1-K472)*(1-P472)*(1-U472))</f>
        <v>0.46246423864147862</v>
      </c>
      <c r="R478" s="1">
        <f t="shared" ref="R478:R480" si="51">Q478*(L$7*(J$5*K$5+L$5)+I$5)</f>
        <v>16299.552090918914</v>
      </c>
    </row>
    <row r="479" spans="1:34" ht="24.75" x14ac:dyDescent="0.25">
      <c r="A479" s="1"/>
      <c r="B479" s="1"/>
      <c r="C479" s="1"/>
      <c r="D479" s="62" t="s">
        <v>52</v>
      </c>
      <c r="E479" s="1">
        <f>AB471*AB472</f>
        <v>0.99948811767667456</v>
      </c>
      <c r="F479" s="59">
        <f>MAX(AC472-F472,0)</f>
        <v>26</v>
      </c>
      <c r="G479" s="62" t="s">
        <v>56</v>
      </c>
      <c r="H479" s="1">
        <f>AA471*AB472*AB473+AA472*AB471*AB473*+AA473*AB471*AB472</f>
        <v>2.970991710426068E-5</v>
      </c>
      <c r="I479" s="1">
        <f>AC473+1*L464-F473</f>
        <v>102.66666666666666</v>
      </c>
      <c r="J479" s="62" t="s">
        <v>60</v>
      </c>
      <c r="K479" s="1">
        <f>AA471*AA472*AB473*AB474 + AA471*AA473*AB472*AB474 + AA471*AA474*AB472*AB473 + AA472*AA473*AB471*AB474 + AA472*AA474*AB471*AB473 + AA473*AA474*AB471*AB472</f>
        <v>5.9675068386106443E-6</v>
      </c>
      <c r="L479" s="1">
        <f>AC474+2*L464-F474</f>
        <v>147.33333333333331</v>
      </c>
      <c r="M479" s="1">
        <f>B479*C479*AH471+E479*F479*AH472+H479*I479*AH473+K479*L479*AH474</f>
        <v>2858.8151142490524</v>
      </c>
      <c r="O479" s="1" t="s">
        <v>29</v>
      </c>
      <c r="P479" s="1">
        <f>2*(F464*(J462*K462+L462)+H464)</f>
        <v>28200</v>
      </c>
      <c r="Q479" s="1">
        <f t="shared" si="50"/>
        <v>0.45610321090539196</v>
      </c>
      <c r="R479" s="1">
        <f t="shared" si="51"/>
        <v>16075.357668360541</v>
      </c>
    </row>
    <row r="480" spans="1:34" ht="24.75" x14ac:dyDescent="0.25">
      <c r="A480" s="1"/>
      <c r="B480" s="1"/>
      <c r="C480" s="1"/>
      <c r="D480" s="1"/>
      <c r="E480" s="1"/>
      <c r="F480" s="1"/>
      <c r="G480" s="62" t="s">
        <v>52</v>
      </c>
      <c r="H480" s="1">
        <f>AB471*AB472*AB473</f>
        <v>0.99891597695160428</v>
      </c>
      <c r="I480" s="63">
        <f>AC473-F473</f>
        <v>90.666666666666657</v>
      </c>
      <c r="J480" s="62" t="s">
        <v>56</v>
      </c>
      <c r="K480" s="1">
        <f>AA471*AB472*AB473*AB474+AA472*AB471*AB473*AB474+AA473*AB471*AB472*AB474+AA474*AB471*AB472*AB473</f>
        <v>6.2969100246735082E-3</v>
      </c>
      <c r="L480" s="1">
        <f>AC474+1*L464-F474</f>
        <v>135.33333333333331</v>
      </c>
      <c r="M480" s="1">
        <f>B480*C480*AH471+E480*F480*AH472+H480*I480*AH473+K480*L480*AH474</f>
        <v>6140.5170429725049</v>
      </c>
      <c r="O480" s="1" t="s">
        <v>30</v>
      </c>
      <c r="P480" s="1">
        <v>0</v>
      </c>
      <c r="Q480" s="1">
        <f t="shared" si="50"/>
        <v>0.45510003424021006</v>
      </c>
      <c r="R480" s="1">
        <f t="shared" si="51"/>
        <v>16040.000706796203</v>
      </c>
    </row>
    <row r="481" spans="1:20" ht="30" x14ac:dyDescent="0.25">
      <c r="I481" s="84"/>
      <c r="J481" s="62" t="s">
        <v>52</v>
      </c>
      <c r="K481" s="85">
        <f>AB471*AB472*AB473*AB474</f>
        <v>0.99369712085528783</v>
      </c>
      <c r="L481" s="1">
        <f>AC474+0*L464-F474</f>
        <v>123.33333333333331</v>
      </c>
      <c r="M481" s="1">
        <f>B481*C481*AH471+E481*F481*AH472+H481*I481*AH473+K481*L481*AH474</f>
        <v>10417.258150299598</v>
      </c>
      <c r="O481" s="64" t="s">
        <v>65</v>
      </c>
      <c r="P481" s="65">
        <f>SUM(P477:P480)</f>
        <v>37280</v>
      </c>
      <c r="Q481" s="96" t="s">
        <v>108</v>
      </c>
      <c r="R481" s="97">
        <f>SUM(R477:R480)</f>
        <v>59772.108149560212</v>
      </c>
    </row>
    <row r="482" spans="1:20" x14ac:dyDescent="0.25">
      <c r="L482" s="176" t="s">
        <v>63</v>
      </c>
      <c r="M482" s="177">
        <f>SUM(M477:M481)</f>
        <v>19458.746517630243</v>
      </c>
    </row>
    <row r="483" spans="1:20" x14ac:dyDescent="0.25">
      <c r="L483" s="176"/>
      <c r="M483" s="177"/>
    </row>
    <row r="484" spans="1:20" x14ac:dyDescent="0.25">
      <c r="A484" s="178" t="s">
        <v>90</v>
      </c>
      <c r="B484" s="178"/>
      <c r="C484" s="178"/>
      <c r="D484" s="178"/>
      <c r="E484" s="178"/>
      <c r="F484" s="178"/>
      <c r="G484" s="178"/>
      <c r="H484" s="178"/>
      <c r="I484" s="178"/>
      <c r="J484" s="178"/>
      <c r="K484" s="178"/>
      <c r="L484" s="178"/>
      <c r="M484" s="178"/>
      <c r="N484" s="178"/>
    </row>
    <row r="485" spans="1:20" ht="15.75" x14ac:dyDescent="0.25">
      <c r="A485" s="87" t="s">
        <v>75</v>
      </c>
      <c r="B485" s="62" t="s">
        <v>49</v>
      </c>
      <c r="C485" s="90" t="s">
        <v>87</v>
      </c>
      <c r="D485" s="62" t="s">
        <v>88</v>
      </c>
      <c r="E485" s="87" t="s">
        <v>77</v>
      </c>
      <c r="F485" s="62" t="s">
        <v>57</v>
      </c>
      <c r="G485" s="90" t="s">
        <v>78</v>
      </c>
      <c r="H485" s="62" t="s">
        <v>88</v>
      </c>
      <c r="I485" s="87" t="s">
        <v>76</v>
      </c>
      <c r="J485" s="62" t="s">
        <v>61</v>
      </c>
      <c r="K485" s="90" t="s">
        <v>102</v>
      </c>
      <c r="L485" s="62" t="s">
        <v>88</v>
      </c>
      <c r="M485" s="87" t="s">
        <v>86</v>
      </c>
      <c r="N485" s="62" t="s">
        <v>84</v>
      </c>
      <c r="O485" s="90" t="s">
        <v>103</v>
      </c>
      <c r="P485" s="62" t="s">
        <v>88</v>
      </c>
    </row>
    <row r="486" spans="1:20" ht="24.75" x14ac:dyDescent="0.25">
      <c r="A486" s="62" t="s">
        <v>51</v>
      </c>
      <c r="B486" s="86">
        <v>2.9465138194053318E-5</v>
      </c>
      <c r="C486" s="86">
        <f>AC471+1*L464</f>
        <v>89</v>
      </c>
      <c r="D486" s="86">
        <f>MAX(B486*1.5*((C486-F471)*500/2),0)</f>
        <v>0.14364254869600993</v>
      </c>
      <c r="E486" s="62" t="s">
        <v>55</v>
      </c>
      <c r="F486" s="86">
        <v>1.4214907871310384E-8</v>
      </c>
      <c r="G486" s="86">
        <f>AC472+2*L464</f>
        <v>156</v>
      </c>
      <c r="H486" s="86">
        <f>F486*1.5*((G486-F472)*500/2+(G486-F473)*500+(G486-F474)*500)</f>
        <v>1.0874404521552443E-3</v>
      </c>
      <c r="I486" s="62" t="s">
        <v>59</v>
      </c>
      <c r="J486" s="86">
        <v>8.1370929303332923E-12</v>
      </c>
      <c r="K486" s="86">
        <f>AC473+3*L464</f>
        <v>221.66666666666666</v>
      </c>
      <c r="L486" s="86">
        <f>J486*1.5*((K486-G486)*500/2+(K486-G486)*500)</f>
        <v>6.0112774022837193E-7</v>
      </c>
      <c r="M486" s="62" t="s">
        <v>83</v>
      </c>
      <c r="N486" s="86">
        <v>4.2512401468798046E-14</v>
      </c>
      <c r="O486" s="86">
        <f>AC474+4*L464</f>
        <v>311.33333333333331</v>
      </c>
      <c r="P486" s="86">
        <f>N486*1.5*((O486-K486)*500/2)</f>
        <v>1.429479499388334E-9</v>
      </c>
    </row>
    <row r="487" spans="1:20" ht="24.75" x14ac:dyDescent="0.25">
      <c r="A487" s="62" t="s">
        <v>52</v>
      </c>
      <c r="B487" s="86">
        <v>0.99997053486180598</v>
      </c>
      <c r="C487" s="88">
        <f>AC471</f>
        <v>77</v>
      </c>
      <c r="D487" s="86">
        <f>MAX(B487*1.5*((C487-F471)*500/2),0)</f>
        <v>374.98895057317725</v>
      </c>
      <c r="E487" s="62" t="s">
        <v>56</v>
      </c>
      <c r="F487" s="86">
        <v>5.118681084176715E-4</v>
      </c>
      <c r="G487" s="86">
        <f>AC472+1*L464</f>
        <v>144</v>
      </c>
      <c r="H487" s="86">
        <f>F487*1.5*((G487-F472)*500/2+(G487-F473)*500+(G487-F474)*500)</f>
        <v>27.640877854554262</v>
      </c>
      <c r="I487" s="62" t="s">
        <v>60</v>
      </c>
      <c r="J487" s="86">
        <v>3.0721734840406202E-7</v>
      </c>
      <c r="K487" s="86">
        <f>AC473+2*L464</f>
        <v>209.66666666666666</v>
      </c>
      <c r="L487" s="86">
        <f>J487*1.5*((K487-G487)*500/2+(K487-G487)*500)</f>
        <v>2.2695681613350078E-2</v>
      </c>
      <c r="M487" s="62" t="s">
        <v>59</v>
      </c>
      <c r="N487" s="86">
        <v>1.4508554647722677E-9</v>
      </c>
      <c r="O487" s="86">
        <f>AC474+3*L464</f>
        <v>299.33333333333331</v>
      </c>
      <c r="P487" s="86">
        <f>N487*1.5*((O487-K487)*500/2)</f>
        <v>4.8785015002967491E-5</v>
      </c>
    </row>
    <row r="488" spans="1:20" x14ac:dyDescent="0.25">
      <c r="A488" s="86"/>
      <c r="B488" s="86"/>
      <c r="C488" s="89" t="s">
        <v>89</v>
      </c>
      <c r="D488" s="89">
        <f>SUM(D486:D487)</f>
        <v>375.13259312187324</v>
      </c>
      <c r="E488" s="62" t="s">
        <v>52</v>
      </c>
      <c r="F488" s="86">
        <v>0.99948811767667456</v>
      </c>
      <c r="G488" s="86">
        <f>AC472+0*L464</f>
        <v>132</v>
      </c>
      <c r="H488" s="86">
        <f>F488*1.5*((G488-F472)*500/2+(G488-F473)*500)</f>
        <v>37480.804412875295</v>
      </c>
      <c r="I488" s="62" t="s">
        <v>56</v>
      </c>
      <c r="J488" s="86">
        <v>2.970991710426068E-5</v>
      </c>
      <c r="K488" s="86">
        <f>AC473+1*L464</f>
        <v>197.66666666666666</v>
      </c>
      <c r="L488" s="86">
        <f>J488*1.5*((K488-G488)*500/2+(K488-F474)*500)</f>
        <v>2.0165606234516935</v>
      </c>
      <c r="M488" s="62" t="s">
        <v>60</v>
      </c>
      <c r="N488" s="86">
        <v>5.9675068386106443E-6</v>
      </c>
      <c r="O488" s="86">
        <f>AC474+2*L464</f>
        <v>287.33333333333331</v>
      </c>
      <c r="P488" s="86">
        <f>N488*1.5*((O488-K488)*500/2)</f>
        <v>0.20065741744828289</v>
      </c>
    </row>
    <row r="489" spans="1:20" x14ac:dyDescent="0.25">
      <c r="A489" s="86"/>
      <c r="B489" s="86"/>
      <c r="C489" s="86"/>
      <c r="D489" s="86"/>
      <c r="E489" s="86"/>
      <c r="F489" s="86"/>
      <c r="G489" s="89" t="s">
        <v>79</v>
      </c>
      <c r="H489" s="89">
        <f>SUM(H486:H488)</f>
        <v>37508.446378170302</v>
      </c>
      <c r="I489" s="62" t="s">
        <v>52</v>
      </c>
      <c r="J489" s="86">
        <v>0.99891597695160428</v>
      </c>
      <c r="K489" s="86">
        <f>AC473+0*L464</f>
        <v>185.66666666666666</v>
      </c>
      <c r="L489" s="86">
        <f>J489*1.5*((K489-G488)*500/2+(K489-F474)*500)</f>
        <v>54316.056246743472</v>
      </c>
      <c r="M489" s="62" t="s">
        <v>56</v>
      </c>
      <c r="N489" s="86">
        <v>6.2969100246735082E-3</v>
      </c>
      <c r="O489" s="86">
        <f>AC474+1*L464</f>
        <v>275.33333333333331</v>
      </c>
      <c r="P489" s="86">
        <f>N489*1.5*((O489-K489)*500/2)</f>
        <v>211.73359957964669</v>
      </c>
    </row>
    <row r="490" spans="1:20" x14ac:dyDescent="0.25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9" t="s">
        <v>79</v>
      </c>
      <c r="L490" s="89">
        <f>SUM(L486:L489)</f>
        <v>54318.095503649667</v>
      </c>
      <c r="M490" s="62" t="s">
        <v>52</v>
      </c>
      <c r="N490" s="86">
        <v>0.99369712085528783</v>
      </c>
      <c r="O490" s="86">
        <f>AC474+0*L464</f>
        <v>263.33333333333331</v>
      </c>
      <c r="P490" s="86">
        <f>N490*1.5*((O490-K489)*500/2)</f>
        <v>28941.428644910258</v>
      </c>
      <c r="Q490" s="179" t="s">
        <v>80</v>
      </c>
      <c r="R490" s="179"/>
      <c r="S490" s="180">
        <f>D488+H489+L490+P491</f>
        <v>121355.03742563564</v>
      </c>
      <c r="T490" s="180"/>
    </row>
    <row r="491" spans="1:20" x14ac:dyDescent="0.25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9" t="s">
        <v>79</v>
      </c>
      <c r="P491" s="89">
        <f>SUM(P486:P490)</f>
        <v>29153.362950693798</v>
      </c>
      <c r="Q491" s="179"/>
      <c r="R491" s="179"/>
      <c r="S491" s="180"/>
      <c r="T491" s="180"/>
    </row>
    <row r="492" spans="1:20" x14ac:dyDescent="0.25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</row>
    <row r="493" spans="1:20" x14ac:dyDescent="0.25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</row>
    <row r="494" spans="1:20" x14ac:dyDescent="0.25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</row>
    <row r="495" spans="1:20" ht="24.75" thickBot="1" x14ac:dyDescent="0.3">
      <c r="O495" s="131" t="s">
        <v>81</v>
      </c>
      <c r="P495" s="131"/>
      <c r="Q495" s="131">
        <f>(R481+P481+M482+S490)/AC474</f>
        <v>903.28819782085873</v>
      </c>
      <c r="R495" s="131"/>
    </row>
    <row r="496" spans="1:20" x14ac:dyDescent="0.25">
      <c r="A496" s="181" t="s">
        <v>118</v>
      </c>
      <c r="B496" s="182"/>
    </row>
    <row r="497" spans="1:34" ht="15.75" thickBot="1" x14ac:dyDescent="0.3">
      <c r="A497" s="183"/>
      <c r="B497" s="184"/>
    </row>
    <row r="498" spans="1:34" ht="21" x14ac:dyDescent="0.35">
      <c r="A498" s="185" t="s">
        <v>14</v>
      </c>
      <c r="B498" s="185"/>
      <c r="C498" s="165"/>
      <c r="D498" s="165"/>
      <c r="E498" s="165"/>
      <c r="F498" s="165"/>
      <c r="G498" s="165"/>
      <c r="H498" s="165"/>
      <c r="I498" s="165"/>
      <c r="J498" s="165"/>
      <c r="K498" s="165"/>
      <c r="L498" s="165"/>
      <c r="M498" s="165"/>
      <c r="O498" s="166" t="s">
        <v>72</v>
      </c>
      <c r="P498" s="166"/>
      <c r="Q498" s="166"/>
      <c r="R498" s="166"/>
      <c r="S498" s="166"/>
      <c r="T498" s="166"/>
      <c r="U498" s="166"/>
      <c r="V498" s="166"/>
    </row>
    <row r="499" spans="1:34" ht="36" x14ac:dyDescent="0.25">
      <c r="A499" s="4" t="s">
        <v>15</v>
      </c>
      <c r="B499" s="4" t="s">
        <v>16</v>
      </c>
      <c r="C499" s="4" t="s">
        <v>31</v>
      </c>
      <c r="D499" s="6" t="s">
        <v>17</v>
      </c>
      <c r="E499" s="6" t="s">
        <v>18</v>
      </c>
      <c r="F499" s="6" t="s">
        <v>19</v>
      </c>
      <c r="G499" s="6" t="s">
        <v>20</v>
      </c>
      <c r="H499" s="6" t="s">
        <v>21</v>
      </c>
      <c r="I499" s="6" t="s">
        <v>22</v>
      </c>
      <c r="J499" s="6" t="s">
        <v>23</v>
      </c>
      <c r="K499" s="6" t="s">
        <v>24</v>
      </c>
      <c r="L499" s="6" t="s">
        <v>25</v>
      </c>
      <c r="M499" s="6" t="s">
        <v>26</v>
      </c>
      <c r="N499" s="8"/>
      <c r="O499" s="167" t="s">
        <v>32</v>
      </c>
      <c r="P499" s="167" t="s">
        <v>35</v>
      </c>
      <c r="Q499" s="167" t="s">
        <v>66</v>
      </c>
      <c r="R499" s="99" t="s">
        <v>67</v>
      </c>
      <c r="S499" s="99" t="s">
        <v>68</v>
      </c>
      <c r="T499" s="167" t="s">
        <v>69</v>
      </c>
      <c r="U499" s="71" t="s">
        <v>33</v>
      </c>
      <c r="V499" s="99" t="s">
        <v>70</v>
      </c>
    </row>
    <row r="500" spans="1:34" x14ac:dyDescent="0.25">
      <c r="A500" s="3" t="s">
        <v>27</v>
      </c>
      <c r="B500" s="3">
        <v>0</v>
      </c>
      <c r="C500" s="3">
        <v>0.3</v>
      </c>
      <c r="D500" s="3">
        <v>243</v>
      </c>
      <c r="E500" s="3">
        <v>1.73</v>
      </c>
      <c r="F500" s="3">
        <v>5</v>
      </c>
      <c r="G500" s="169">
        <v>12</v>
      </c>
      <c r="H500" s="3">
        <v>1820</v>
      </c>
      <c r="I500" s="169">
        <v>19645</v>
      </c>
      <c r="J500" s="3">
        <v>20</v>
      </c>
      <c r="K500" s="3">
        <v>40</v>
      </c>
      <c r="L500" s="3">
        <v>500</v>
      </c>
      <c r="M500" s="3">
        <v>1000</v>
      </c>
      <c r="O500" s="168"/>
      <c r="P500" s="168"/>
      <c r="Q500" s="168"/>
      <c r="R500" s="72" t="s">
        <v>71</v>
      </c>
      <c r="S500" s="72" t="s">
        <v>71</v>
      </c>
      <c r="T500" s="168"/>
      <c r="U500" s="73">
        <v>500</v>
      </c>
      <c r="V500" s="3">
        <v>1.5</v>
      </c>
    </row>
    <row r="501" spans="1:34" x14ac:dyDescent="0.25">
      <c r="A501" s="3" t="s">
        <v>28</v>
      </c>
      <c r="B501" s="3">
        <v>0</v>
      </c>
      <c r="C501" s="3">
        <v>0.3</v>
      </c>
      <c r="D501" s="3">
        <v>254</v>
      </c>
      <c r="E501" s="3">
        <v>1.88</v>
      </c>
      <c r="F501" s="3">
        <v>3</v>
      </c>
      <c r="G501" s="170"/>
      <c r="H501" s="3">
        <v>2720</v>
      </c>
      <c r="I501" s="170"/>
      <c r="J501" s="5"/>
      <c r="K501" s="5"/>
      <c r="L501" s="5"/>
      <c r="M501" s="5"/>
      <c r="O501" s="74">
        <v>1</v>
      </c>
      <c r="P501" s="74">
        <v>106</v>
      </c>
      <c r="Q501" s="74">
        <v>110</v>
      </c>
      <c r="R501" s="74">
        <v>6</v>
      </c>
      <c r="S501" s="74">
        <v>5</v>
      </c>
      <c r="T501" s="74">
        <f>R501*$U$5/60+S501</f>
        <v>55</v>
      </c>
      <c r="U501" s="75"/>
    </row>
    <row r="502" spans="1:34" x14ac:dyDescent="0.25">
      <c r="A502" s="3" t="s">
        <v>29</v>
      </c>
      <c r="B502" s="3">
        <v>0</v>
      </c>
      <c r="C502" s="3">
        <v>0.3</v>
      </c>
      <c r="D502" s="3">
        <v>143</v>
      </c>
      <c r="E502" s="3">
        <v>2.4300000000000002</v>
      </c>
      <c r="F502" s="3">
        <v>8</v>
      </c>
      <c r="G502" s="170"/>
      <c r="H502" s="3">
        <v>3700</v>
      </c>
      <c r="I502" s="170"/>
      <c r="J502" s="5"/>
      <c r="K502" s="140" t="s">
        <v>73</v>
      </c>
      <c r="L502" s="141">
        <v>12</v>
      </c>
      <c r="M502" s="140" t="s">
        <v>74</v>
      </c>
      <c r="N502" s="141">
        <v>19645</v>
      </c>
      <c r="O502" s="74">
        <v>2</v>
      </c>
      <c r="P502" s="74">
        <v>76</v>
      </c>
      <c r="Q502" s="74">
        <v>40</v>
      </c>
      <c r="R502" s="74">
        <v>9</v>
      </c>
      <c r="S502" s="74">
        <v>2</v>
      </c>
      <c r="T502" s="74">
        <f t="shared" ref="T502:T504" si="52">R502*$U$5/60+S502</f>
        <v>77</v>
      </c>
      <c r="U502" s="75"/>
    </row>
    <row r="503" spans="1:34" x14ac:dyDescent="0.25">
      <c r="A503" s="3" t="s">
        <v>30</v>
      </c>
      <c r="B503" s="3">
        <v>0</v>
      </c>
      <c r="C503" s="3">
        <v>0.3</v>
      </c>
      <c r="D503" s="3">
        <v>449</v>
      </c>
      <c r="E503" s="3">
        <v>2.5299999999999998</v>
      </c>
      <c r="F503" s="3">
        <v>4</v>
      </c>
      <c r="G503" s="171"/>
      <c r="H503" s="3">
        <v>4320</v>
      </c>
      <c r="I503" s="171"/>
      <c r="J503" s="5"/>
      <c r="K503" s="140"/>
      <c r="L503" s="141"/>
      <c r="M503" s="140"/>
      <c r="N503" s="141"/>
      <c r="O503" s="74">
        <v>3</v>
      </c>
      <c r="P503" s="74">
        <v>95</v>
      </c>
      <c r="Q503" s="74">
        <v>67</v>
      </c>
      <c r="R503" s="74">
        <v>5</v>
      </c>
      <c r="S503" s="74">
        <v>4</v>
      </c>
      <c r="T503" s="74">
        <f t="shared" si="52"/>
        <v>45.666666666666664</v>
      </c>
      <c r="U503" s="75"/>
    </row>
    <row r="504" spans="1:34" ht="15.75" thickBo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O504" s="74">
        <v>4</v>
      </c>
      <c r="P504" s="74">
        <v>140</v>
      </c>
      <c r="Q504" s="94">
        <v>85</v>
      </c>
      <c r="R504" s="94">
        <v>8</v>
      </c>
      <c r="S504" s="94">
        <v>3</v>
      </c>
      <c r="T504" s="74">
        <f t="shared" si="52"/>
        <v>69.666666666666671</v>
      </c>
    </row>
    <row r="505" spans="1:34" ht="15" customHeight="1" x14ac:dyDescent="0.25">
      <c r="A505" s="172" t="s">
        <v>104</v>
      </c>
      <c r="B505" s="144" t="s">
        <v>105</v>
      </c>
      <c r="C505" s="144"/>
      <c r="D505" s="144"/>
      <c r="E505" s="144"/>
      <c r="F505" s="20" t="s">
        <v>27</v>
      </c>
      <c r="G505" s="20" t="s">
        <v>28</v>
      </c>
      <c r="H505" s="20" t="s">
        <v>29</v>
      </c>
      <c r="I505" s="20" t="s">
        <v>30</v>
      </c>
    </row>
    <row r="506" spans="1:34" ht="15.75" customHeight="1" thickBot="1" x14ac:dyDescent="0.3">
      <c r="A506" s="173"/>
      <c r="B506" s="145"/>
      <c r="C506" s="145"/>
      <c r="D506" s="145"/>
      <c r="E506" s="145"/>
      <c r="F506" s="20">
        <v>84</v>
      </c>
      <c r="G506" s="26">
        <v>84</v>
      </c>
      <c r="H506" s="26">
        <v>84</v>
      </c>
      <c r="I506" s="26">
        <v>252</v>
      </c>
    </row>
    <row r="507" spans="1:34" ht="15.75" customHeight="1" thickBot="1" x14ac:dyDescent="0.3">
      <c r="A507" s="173"/>
      <c r="B507" s="145"/>
      <c r="C507" s="145"/>
      <c r="D507" s="145"/>
      <c r="E507" s="145"/>
      <c r="F507" s="7"/>
      <c r="G507" s="146" t="s">
        <v>27</v>
      </c>
      <c r="H507" s="147"/>
      <c r="I507" s="147"/>
      <c r="J507" s="147"/>
      <c r="K507" s="148"/>
      <c r="L507" s="149" t="s">
        <v>28</v>
      </c>
      <c r="M507" s="150"/>
      <c r="N507" s="150"/>
      <c r="O507" s="150"/>
      <c r="P507" s="151"/>
      <c r="Q507" s="152" t="s">
        <v>29</v>
      </c>
      <c r="R507" s="153"/>
      <c r="S507" s="153"/>
      <c r="T507" s="153"/>
      <c r="U507" s="154"/>
      <c r="V507" s="155" t="s">
        <v>30</v>
      </c>
      <c r="W507" s="156"/>
      <c r="X507" s="156"/>
      <c r="Y507" s="156"/>
      <c r="Z507" s="157"/>
      <c r="AA507" s="158" t="s">
        <v>42</v>
      </c>
      <c r="AB507" s="159"/>
      <c r="AC507" s="160" t="s">
        <v>44</v>
      </c>
      <c r="AD507" s="162" t="s">
        <v>47</v>
      </c>
      <c r="AE507" s="163"/>
      <c r="AF507" s="163"/>
      <c r="AG507" s="164"/>
      <c r="AH507" s="138" t="s">
        <v>62</v>
      </c>
    </row>
    <row r="508" spans="1:34" ht="36.75" x14ac:dyDescent="0.25">
      <c r="A508" s="21" t="s">
        <v>32</v>
      </c>
      <c r="B508" s="22" t="s">
        <v>37</v>
      </c>
      <c r="C508" s="23" t="s">
        <v>33</v>
      </c>
      <c r="D508" s="22" t="s">
        <v>38</v>
      </c>
      <c r="E508" s="22" t="s">
        <v>34</v>
      </c>
      <c r="F508" s="25" t="s">
        <v>35</v>
      </c>
      <c r="G508" s="27" t="s">
        <v>39</v>
      </c>
      <c r="H508" s="10" t="s">
        <v>40</v>
      </c>
      <c r="I508" s="10" t="s">
        <v>45</v>
      </c>
      <c r="J508" s="10" t="s">
        <v>46</v>
      </c>
      <c r="K508" s="28" t="s">
        <v>41</v>
      </c>
      <c r="L508" s="30" t="s">
        <v>39</v>
      </c>
      <c r="M508" s="13" t="s">
        <v>40</v>
      </c>
      <c r="N508" s="13" t="s">
        <v>45</v>
      </c>
      <c r="O508" s="13" t="s">
        <v>46</v>
      </c>
      <c r="P508" s="31" t="s">
        <v>41</v>
      </c>
      <c r="Q508" s="33" t="s">
        <v>39</v>
      </c>
      <c r="R508" s="12" t="s">
        <v>40</v>
      </c>
      <c r="S508" s="12" t="s">
        <v>45</v>
      </c>
      <c r="T508" s="12" t="s">
        <v>46</v>
      </c>
      <c r="U508" s="34" t="s">
        <v>41</v>
      </c>
      <c r="V508" s="36" t="s">
        <v>39</v>
      </c>
      <c r="W508" s="11" t="s">
        <v>40</v>
      </c>
      <c r="X508" s="11" t="s">
        <v>45</v>
      </c>
      <c r="Y508" s="11" t="s">
        <v>46</v>
      </c>
      <c r="Z508" s="37" t="s">
        <v>41</v>
      </c>
      <c r="AA508" s="39" t="s">
        <v>41</v>
      </c>
      <c r="AB508" s="40" t="s">
        <v>43</v>
      </c>
      <c r="AC508" s="161"/>
      <c r="AD508" s="43" t="s">
        <v>27</v>
      </c>
      <c r="AE508" s="1" t="s">
        <v>28</v>
      </c>
      <c r="AF508" s="1" t="s">
        <v>29</v>
      </c>
      <c r="AG508" s="1" t="s">
        <v>30</v>
      </c>
      <c r="AH508" s="139"/>
    </row>
    <row r="509" spans="1:34" x14ac:dyDescent="0.25">
      <c r="A509" s="24">
        <v>2</v>
      </c>
      <c r="B509" s="9">
        <v>9</v>
      </c>
      <c r="C509" s="9">
        <v>500</v>
      </c>
      <c r="D509" s="9">
        <v>2</v>
      </c>
      <c r="E509" s="48">
        <f>B509*C509/60+D509</f>
        <v>77</v>
      </c>
      <c r="F509" s="100">
        <v>76</v>
      </c>
      <c r="G509" s="49">
        <f>B$5*(1-AD509*C$5)</f>
        <v>0</v>
      </c>
      <c r="H509" s="50">
        <f>G509+E509</f>
        <v>77</v>
      </c>
      <c r="I509" s="15">
        <f>(H509/D$5)^E$5</f>
        <v>0.13693992990275231</v>
      </c>
      <c r="J509" s="15">
        <f>(G509/D$5)^E$5</f>
        <v>0</v>
      </c>
      <c r="K509" s="29">
        <f>1-EXP(J509-I509)</f>
        <v>0.1279773929583623</v>
      </c>
      <c r="L509" s="51">
        <f>B$6*(1-AE509*C$6)</f>
        <v>0</v>
      </c>
      <c r="M509" s="52">
        <f>L509+E509</f>
        <v>77</v>
      </c>
      <c r="N509" s="17">
        <f>(M509/D$6)^E$6</f>
        <v>0.10605109964467559</v>
      </c>
      <c r="O509" s="17">
        <f>(L509/D$6)^E$6</f>
        <v>0</v>
      </c>
      <c r="P509" s="32">
        <f>1-EXP(O509-N509)</f>
        <v>0.10062131102974814</v>
      </c>
      <c r="Q509" s="53">
        <f>B$7*(1-AF509*C$7)</f>
        <v>0</v>
      </c>
      <c r="R509" s="54">
        <f>Q509+E509</f>
        <v>77</v>
      </c>
      <c r="S509" s="16">
        <f>(R509/D$7)^E$7</f>
        <v>0.2221804751105394</v>
      </c>
      <c r="T509" s="16">
        <f>(Q509/D$7)^E$7</f>
        <v>0</v>
      </c>
      <c r="U509" s="35">
        <f>1-EXP(T509-S509)</f>
        <v>0.19922916791162293</v>
      </c>
      <c r="V509" s="55">
        <f>B$8*(1-AG509*C$8)</f>
        <v>0</v>
      </c>
      <c r="W509" s="56">
        <f>V509+E509</f>
        <v>77</v>
      </c>
      <c r="X509" s="18">
        <f>(W509/D$8)^E$8</f>
        <v>1.1551497592884551E-2</v>
      </c>
      <c r="Y509" s="18">
        <f>(V509/D$8)^E$8</f>
        <v>0</v>
      </c>
      <c r="Z509" s="38">
        <f>1-EXP(Y509-X509)</f>
        <v>1.1485035204098715E-2</v>
      </c>
      <c r="AA509" s="41">
        <f>K509*P509*U509*Z509</f>
        <v>2.9465138194053318E-5</v>
      </c>
      <c r="AB509" s="42">
        <f>1-AA509</f>
        <v>0.99997053486180598</v>
      </c>
      <c r="AC509" s="47">
        <f>(AD509*F$5+AE509*F$6+AF509*F$7+AG509*F$8)+E509</f>
        <v>77</v>
      </c>
      <c r="AD509" s="43">
        <v>0</v>
      </c>
      <c r="AE509" s="1">
        <v>0</v>
      </c>
      <c r="AF509" s="1">
        <v>0</v>
      </c>
      <c r="AG509" s="1">
        <v>0</v>
      </c>
      <c r="AH509" s="74">
        <v>40</v>
      </c>
    </row>
    <row r="510" spans="1:34" x14ac:dyDescent="0.25">
      <c r="A510" s="76">
        <v>1</v>
      </c>
      <c r="B510" s="58">
        <v>6</v>
      </c>
      <c r="C510" s="9">
        <v>500</v>
      </c>
      <c r="D510" s="58">
        <v>5</v>
      </c>
      <c r="E510" s="48">
        <f t="shared" ref="E510:E512" si="53">B510*C510/60+D510</f>
        <v>55</v>
      </c>
      <c r="F510" s="100">
        <v>106</v>
      </c>
      <c r="G510" s="49">
        <f>H509*(1-AD510*C$5)</f>
        <v>77</v>
      </c>
      <c r="H510" s="50">
        <f>G510+E510</f>
        <v>132</v>
      </c>
      <c r="I510" s="15">
        <f>(H510/D$5)^E$5</f>
        <v>0.34793173894508389</v>
      </c>
      <c r="J510" s="15">
        <f>(G510/D$5)^E$5</f>
        <v>0.13693992990275231</v>
      </c>
      <c r="K510" s="29">
        <f>1-EXP(J510-I510)</f>
        <v>0.19021930026645628</v>
      </c>
      <c r="L510" s="51">
        <f>M509*(1-AE510*C$6)</f>
        <v>77</v>
      </c>
      <c r="M510" s="52">
        <f>L510+E510</f>
        <v>132</v>
      </c>
      <c r="N510" s="17">
        <f>(M510/D$6)^E$6</f>
        <v>0.29214038913862722</v>
      </c>
      <c r="O510" s="17">
        <f>(L510/D$6)^E$6</f>
        <v>0.10605109964467559</v>
      </c>
      <c r="P510" s="32">
        <f>1-EXP(O510-N510)</f>
        <v>0.16980053641757786</v>
      </c>
      <c r="Q510" s="53">
        <f>R509*(1-AF510*C$7)</f>
        <v>77</v>
      </c>
      <c r="R510" s="54">
        <f>Q510+E510</f>
        <v>132</v>
      </c>
      <c r="S510" s="16">
        <f>(R510/D$7)^E$7</f>
        <v>0.82324306668270808</v>
      </c>
      <c r="T510" s="16">
        <f>(Q510/D$7)^E$7</f>
        <v>0.2221804751105394</v>
      </c>
      <c r="U510" s="35">
        <f>1-EXP(T510-S510)</f>
        <v>0.45177121680306542</v>
      </c>
      <c r="V510" s="55">
        <f>W509*(1-AG510*C$8)</f>
        <v>77</v>
      </c>
      <c r="W510" s="56">
        <f>V510+E510</f>
        <v>132</v>
      </c>
      <c r="X510" s="18">
        <f>(W510/D$8)^E$8</f>
        <v>4.5171946303006208E-2</v>
      </c>
      <c r="Y510" s="18">
        <f>(V510/D$8)^E$8</f>
        <v>1.1551497592884551E-2</v>
      </c>
      <c r="Z510" s="38">
        <f>1-EXP(Y510-X510)</f>
        <v>3.3061562270589318E-2</v>
      </c>
      <c r="AA510" s="41">
        <f>K510*P510*U510*Z510</f>
        <v>4.8243140003936076E-4</v>
      </c>
      <c r="AB510" s="42">
        <f>1-AA510</f>
        <v>0.99951756859996066</v>
      </c>
      <c r="AC510" s="47">
        <f>AF510*F$7+E510+AC509</f>
        <v>132</v>
      </c>
      <c r="AD510" s="43">
        <v>0</v>
      </c>
      <c r="AE510" s="1">
        <v>0</v>
      </c>
      <c r="AF510" s="1">
        <v>0</v>
      </c>
      <c r="AG510" s="1">
        <v>0</v>
      </c>
      <c r="AH510" s="74">
        <v>110</v>
      </c>
    </row>
    <row r="511" spans="1:34" x14ac:dyDescent="0.25">
      <c r="A511" s="24">
        <v>4</v>
      </c>
      <c r="B511" s="9">
        <v>8</v>
      </c>
      <c r="C511" s="58">
        <v>500</v>
      </c>
      <c r="D511" s="58">
        <v>3</v>
      </c>
      <c r="E511" s="48">
        <f t="shared" si="53"/>
        <v>69.666666666666671</v>
      </c>
      <c r="F511" s="100">
        <v>140</v>
      </c>
      <c r="G511" s="68">
        <f>H510*(1-AD511*C$5)</f>
        <v>92.399999999999991</v>
      </c>
      <c r="H511" s="69">
        <f>G511+E511</f>
        <v>162.06666666666666</v>
      </c>
      <c r="I511" s="70">
        <f>(H511/D$5)^E$5</f>
        <v>0.49621655271682308</v>
      </c>
      <c r="J511" s="70">
        <f>(G511/D$5)^E$5</f>
        <v>0.18772134485664987</v>
      </c>
      <c r="K511" s="29">
        <f>1-EXP(J511-I511)</f>
        <v>0.26544852773589911</v>
      </c>
      <c r="L511" s="51">
        <f>M510*(1-AE511*C$6)</f>
        <v>92.399999999999991</v>
      </c>
      <c r="M511" s="52">
        <f>L511+E511</f>
        <v>162.06666666666666</v>
      </c>
      <c r="N511" s="17">
        <f>(M511/D$6)^E$6</f>
        <v>0.42967171801167126</v>
      </c>
      <c r="O511" s="17">
        <f>(L511/D$6)^E$6</f>
        <v>0.14940871089337018</v>
      </c>
      <c r="P511" s="32">
        <f>1-EXP(O511-N511)</f>
        <v>0.24441500891064738</v>
      </c>
      <c r="Q511" s="53">
        <f>R510*(1-AF511*C$7)</f>
        <v>92.399999999999991</v>
      </c>
      <c r="R511" s="54">
        <f>Q511+E511</f>
        <v>162.06666666666666</v>
      </c>
      <c r="S511" s="16">
        <f>(R511/D$7)^E$7</f>
        <v>1.3554675326688883</v>
      </c>
      <c r="T511" s="16">
        <f>(Q511/D$7)^E$7</f>
        <v>0.34603204471909926</v>
      </c>
      <c r="U511" s="35">
        <f>1-EXP(T511-S511)</f>
        <v>0.63557535638113816</v>
      </c>
      <c r="V511" s="55">
        <f>W510*(1-AG511*C$8)</f>
        <v>132</v>
      </c>
      <c r="W511" s="56">
        <f>V511+E511</f>
        <v>201.66666666666669</v>
      </c>
      <c r="X511" s="18">
        <f>(W511/D$8)^E$8</f>
        <v>0.13199001575183039</v>
      </c>
      <c r="Y511" s="18">
        <f>(V511/D$8)^E$8</f>
        <v>4.5171946303006208E-2</v>
      </c>
      <c r="Z511" s="38">
        <f>1-EXP(Y511-X511)</f>
        <v>8.3156117626247084E-2</v>
      </c>
      <c r="AA511" s="41">
        <f>K511*P511*U511*Z511</f>
        <v>3.4290154887069279E-3</v>
      </c>
      <c r="AB511" s="42">
        <f>1-AA511</f>
        <v>0.99657098451129311</v>
      </c>
      <c r="AC511" s="47">
        <f>(AF511*F$7)+E511+AC510</f>
        <v>209.66666666666669</v>
      </c>
      <c r="AD511" s="77">
        <v>1</v>
      </c>
      <c r="AE511" s="78">
        <v>1</v>
      </c>
      <c r="AF511" s="78">
        <v>1</v>
      </c>
      <c r="AG511" s="78">
        <v>0</v>
      </c>
      <c r="AH511" s="74">
        <v>85</v>
      </c>
    </row>
    <row r="512" spans="1:34" ht="15.75" thickBot="1" x14ac:dyDescent="0.3">
      <c r="A512" s="57">
        <v>3</v>
      </c>
      <c r="B512" s="58">
        <v>5</v>
      </c>
      <c r="C512" s="58">
        <v>500</v>
      </c>
      <c r="D512" s="9">
        <v>4</v>
      </c>
      <c r="E512" s="48">
        <f t="shared" si="53"/>
        <v>45.666666666666664</v>
      </c>
      <c r="F512" s="100">
        <v>95</v>
      </c>
      <c r="G512" s="68">
        <f>H511*(1-AD512*C$5)</f>
        <v>113.44666666666666</v>
      </c>
      <c r="H512" s="69">
        <f>G512+E512</f>
        <v>159.11333333333332</v>
      </c>
      <c r="I512" s="70">
        <f>(H512/D$5)^E$5</f>
        <v>0.48067719678878712</v>
      </c>
      <c r="J512" s="70">
        <f>(G512/D$5)^E$5</f>
        <v>0.26772618933403824</v>
      </c>
      <c r="K512" s="29">
        <f>1-EXP(J512-I512)</f>
        <v>0.19180426818747698</v>
      </c>
      <c r="L512" s="51">
        <f>M511*(1-AE512*C$6)</f>
        <v>113.44666666666666</v>
      </c>
      <c r="M512" s="52">
        <f>L512+E512</f>
        <v>159.11333333333332</v>
      </c>
      <c r="N512" s="17">
        <f>(M512/D$6)^E$6</f>
        <v>0.41506964346675868</v>
      </c>
      <c r="O512" s="17">
        <f>(L512/D$6)^E$6</f>
        <v>0.21974605320663379</v>
      </c>
      <c r="P512" s="32">
        <f>1-EXP(O512-N512)</f>
        <v>0.17743156014988948</v>
      </c>
      <c r="Q512" s="53">
        <f>R511*(1-AF512*C$7)</f>
        <v>113.44666666666666</v>
      </c>
      <c r="R512" s="54">
        <f>Q512+E512</f>
        <v>159.11333333333332</v>
      </c>
      <c r="S512" s="16">
        <f>(R512/D$7)^E$7</f>
        <v>1.2962250315687902</v>
      </c>
      <c r="T512" s="16">
        <f>(Q512/D$7)^E$7</f>
        <v>0.56974084673408143</v>
      </c>
      <c r="U512" s="35">
        <f>1-EXP(T512-S512)</f>
        <v>0.51639372505256609</v>
      </c>
      <c r="V512" s="55">
        <f>W511*(1-AG512*C$8)</f>
        <v>201.66666666666669</v>
      </c>
      <c r="W512" s="56">
        <f>V512+E512</f>
        <v>247.33333333333334</v>
      </c>
      <c r="X512" s="18">
        <f>(W512/D$8)^E$8</f>
        <v>0.22121871391987213</v>
      </c>
      <c r="Y512" s="18">
        <f>(V512/D$8)^E$8</f>
        <v>0.13199001575183039</v>
      </c>
      <c r="Z512" s="38">
        <f>1-EXP(Y512-X512)</f>
        <v>8.5363626009572924E-2</v>
      </c>
      <c r="AA512" s="41">
        <f>K512*P512*U512*Z512</f>
        <v>1.5001785422687859E-3</v>
      </c>
      <c r="AB512" s="42">
        <f>1-AA512</f>
        <v>0.9984998214577312</v>
      </c>
      <c r="AC512" s="47">
        <f>(AF512*F$7)+E512+AC511</f>
        <v>263.33333333333337</v>
      </c>
      <c r="AD512" s="80">
        <v>1</v>
      </c>
      <c r="AE512" s="45">
        <v>1</v>
      </c>
      <c r="AF512" s="81">
        <v>1</v>
      </c>
      <c r="AG512" s="45">
        <v>0</v>
      </c>
      <c r="AH512" s="94">
        <v>67</v>
      </c>
    </row>
    <row r="513" spans="1:33" ht="18.75" x14ac:dyDescent="0.3">
      <c r="A513" s="132" t="s">
        <v>53</v>
      </c>
      <c r="B513" s="132"/>
      <c r="C513" s="132"/>
      <c r="D513" s="132"/>
      <c r="E513" s="132"/>
      <c r="F513" s="132"/>
      <c r="G513" s="132"/>
      <c r="H513" s="132"/>
      <c r="I513" s="132"/>
      <c r="J513" s="132"/>
      <c r="AG513" s="46"/>
    </row>
    <row r="514" spans="1:33" ht="15.75" x14ac:dyDescent="0.25">
      <c r="A514" s="19" t="s">
        <v>48</v>
      </c>
      <c r="B514" s="60" t="s">
        <v>49</v>
      </c>
      <c r="C514" s="61" t="s">
        <v>50</v>
      </c>
      <c r="D514" s="19" t="s">
        <v>58</v>
      </c>
      <c r="E514" s="60" t="s">
        <v>57</v>
      </c>
      <c r="F514" s="61" t="s">
        <v>50</v>
      </c>
      <c r="G514" s="19" t="s">
        <v>82</v>
      </c>
      <c r="H514" s="60" t="s">
        <v>61</v>
      </c>
      <c r="I514" s="61" t="s">
        <v>50</v>
      </c>
      <c r="J514" s="19" t="s">
        <v>54</v>
      </c>
      <c r="K514" s="83" t="s">
        <v>84</v>
      </c>
      <c r="L514" s="61" t="s">
        <v>50</v>
      </c>
      <c r="M514" s="61" t="s">
        <v>85</v>
      </c>
      <c r="O514" s="174" t="s">
        <v>64</v>
      </c>
      <c r="P514" s="174"/>
      <c r="Q514" s="175" t="s">
        <v>109</v>
      </c>
      <c r="R514" s="175"/>
    </row>
    <row r="515" spans="1:33" ht="24.75" x14ac:dyDescent="0.25">
      <c r="A515" s="61" t="s">
        <v>51</v>
      </c>
      <c r="B515" s="1">
        <f>AA509</f>
        <v>2.9465138194053318E-5</v>
      </c>
      <c r="C515" s="59">
        <f>MAX(AC509+1*L502-F509,0)</f>
        <v>13</v>
      </c>
      <c r="D515" s="62" t="s">
        <v>55</v>
      </c>
      <c r="E515" s="1">
        <f>AA509*AA510</f>
        <v>1.4214907871310384E-8</v>
      </c>
      <c r="F515" s="1">
        <f>MAX(AC510+2*L502-F510,0)</f>
        <v>50</v>
      </c>
      <c r="G515" s="62" t="s">
        <v>59</v>
      </c>
      <c r="H515" s="1">
        <f>AA509*AA510*AA511</f>
        <v>4.8743139261265333E-11</v>
      </c>
      <c r="I515" s="1">
        <f>AC511+3*L502-F511</f>
        <v>105.66666666666669</v>
      </c>
      <c r="J515" s="62" t="s">
        <v>83</v>
      </c>
      <c r="K515" s="1">
        <f>AA509*AA510*AA511*AA512</f>
        <v>7.3123411602569452E-14</v>
      </c>
      <c r="L515" s="1">
        <f>AC512+4*L502-F512</f>
        <v>216.33333333333337</v>
      </c>
      <c r="M515" s="1">
        <f>B515*C515*AH509+E515*F515*AH510+H515*I515*AH511+K515*L515*AH512</f>
        <v>1.5400492708704167E-2</v>
      </c>
      <c r="O515" s="1" t="s">
        <v>27</v>
      </c>
      <c r="P515" s="1">
        <f>2*H500</f>
        <v>3640</v>
      </c>
      <c r="Q515" s="1">
        <f>(K509*(1-P509)*(1-U509)*(1-Z509))+(P509*(1-K509)*(1-U509)*(1-Z509))+(U509*(1-K509)*(1-P509)*(1-Z509))+(Z509*(1-K509)*(1-P509)*(1-U509))</f>
        <v>0.32223571239848364</v>
      </c>
      <c r="R515" s="1">
        <f>Q515*(L$7*(J$5*K$5+L$5)+I$5)</f>
        <v>11357.197683484555</v>
      </c>
    </row>
    <row r="516" spans="1:33" ht="24.75" x14ac:dyDescent="0.25">
      <c r="A516" s="62" t="s">
        <v>52</v>
      </c>
      <c r="B516" s="1">
        <f>AB509</f>
        <v>0.99997053486180598</v>
      </c>
      <c r="C516" s="59">
        <f>MAX(AC509-F509,0)</f>
        <v>1</v>
      </c>
      <c r="D516" s="62" t="s">
        <v>56</v>
      </c>
      <c r="E516" s="1">
        <f>AA509*AB510+AA510*AB509</f>
        <v>5.118681084176715E-4</v>
      </c>
      <c r="F516" s="1">
        <f>MAX(AC510+1*L502-F510,0)</f>
        <v>38</v>
      </c>
      <c r="G516" s="62" t="s">
        <v>60</v>
      </c>
      <c r="H516" s="1">
        <f>AA509*AA510*AB511+AA510*AA511*AB509+AA509*AA511*AB510</f>
        <v>1.7693698366713617E-6</v>
      </c>
      <c r="I516" s="1">
        <f>AC511+2*L502-F511</f>
        <v>93.666666666666686</v>
      </c>
      <c r="J516" s="62" t="s">
        <v>59</v>
      </c>
      <c r="K516">
        <f>AB509*AA510*AA511*AA512+AB510*AA509*AA511*AA512*+AB511*AA509*AA510*AA512+AB512*AA509*AA510*AA511</f>
        <v>2.530289363081967E-9</v>
      </c>
      <c r="L516" s="1">
        <f>AC512+3*L502-F512</f>
        <v>204.33333333333337</v>
      </c>
      <c r="M516" s="1">
        <f>B516*C516*AH509+E516*F516*AH510+H516*I516*AH511+K516*L516*AH512</f>
        <v>42.152551861012547</v>
      </c>
      <c r="O516" s="1" t="s">
        <v>28</v>
      </c>
      <c r="P516" s="1">
        <f>2*H501</f>
        <v>5440</v>
      </c>
      <c r="Q516" s="1">
        <f t="shared" ref="Q516:Q518" si="54">(K510*(1-P510)*(1-U510)*(1-Z510))+(P510*(1-K510)*(1-U510)*(1-Z510))+(U510*(1-K510)*(1-P510)*(1-Z510))+(Z510*(1-K510)*(1-P510)*(1-U510))</f>
        <v>0.46246423864147862</v>
      </c>
      <c r="R516" s="1">
        <f t="shared" ref="R516:R518" si="55">Q516*(L$7*(J$5*K$5+L$5)+I$5)</f>
        <v>16299.552090918914</v>
      </c>
    </row>
    <row r="517" spans="1:33" ht="24.75" x14ac:dyDescent="0.25">
      <c r="A517" s="1"/>
      <c r="B517" s="1"/>
      <c r="C517" s="1"/>
      <c r="D517" s="62" t="s">
        <v>52</v>
      </c>
      <c r="E517" s="1">
        <f>AB509*AB510</f>
        <v>0.99948811767667456</v>
      </c>
      <c r="F517" s="59">
        <f>MAX(AC510-F510,0)</f>
        <v>26</v>
      </c>
      <c r="G517" s="62" t="s">
        <v>56</v>
      </c>
      <c r="H517" s="1">
        <f>AA509*AB510*AB511+AA510*AB509*AB511*+AA511*AB509*AB510</f>
        <v>3.09976354212635E-5</v>
      </c>
      <c r="I517" s="1">
        <f>AC511+1*L502-F511</f>
        <v>81.666666666666686</v>
      </c>
      <c r="J517" s="62" t="s">
        <v>60</v>
      </c>
      <c r="K517" s="1">
        <f>AA509*AA510*AB511*AB512 + AA509*AA511*AB510*AB512 + AA509*AA512*AB510*AB511 + AA510*AA511*AB509*AB512 + AA510*AA512*AB509*AB511 + AA511*AA512*AB509*AB510</f>
        <v>7.6734781650990781E-6</v>
      </c>
      <c r="L517" s="1">
        <f>AC512+2*L502-F512</f>
        <v>192.33333333333337</v>
      </c>
      <c r="M517" s="1">
        <f>B517*C517*AH509+E517*F517*AH510+H517*I517*AH511+K517*L517*AH512</f>
        <v>2858.8500748053002</v>
      </c>
      <c r="O517" s="1" t="s">
        <v>29</v>
      </c>
      <c r="P517" s="1">
        <f>2*(F502*(J500*K500+L500)+H502)</f>
        <v>28200</v>
      </c>
      <c r="Q517" s="1">
        <f t="shared" si="54"/>
        <v>0.46724077126636426</v>
      </c>
      <c r="R517" s="1">
        <f t="shared" si="55"/>
        <v>16467.900983283009</v>
      </c>
    </row>
    <row r="518" spans="1:33" ht="24.75" x14ac:dyDescent="0.25">
      <c r="A518" s="1"/>
      <c r="B518" s="1"/>
      <c r="C518" s="1"/>
      <c r="D518" s="1"/>
      <c r="E518" s="1"/>
      <c r="F518" s="1"/>
      <c r="G518" s="62" t="s">
        <v>52</v>
      </c>
      <c r="H518" s="1">
        <f>AB509*AB510*AB511</f>
        <v>0.99606085744038275</v>
      </c>
      <c r="I518" s="63">
        <f>AC511-F511</f>
        <v>69.666666666666686</v>
      </c>
      <c r="J518" s="62" t="s">
        <v>56</v>
      </c>
      <c r="K518" s="1">
        <f>AA509*AB510*AB511*AB512+AA510*AB509*AB511*AB512+AA511*AB509*AB510*AB512+AA512*AB509*AB510*AB511</f>
        <v>5.4257355034644014E-3</v>
      </c>
      <c r="L518" s="1">
        <f>AC512+1*L502-F512</f>
        <v>180.33333333333337</v>
      </c>
      <c r="M518" s="1">
        <f>B518*C518*AH509+E518*F518*AH510+H518*I518*AH511+K518*L518*AH512</f>
        <v>5963.8959224074924</v>
      </c>
      <c r="O518" s="1" t="s">
        <v>30</v>
      </c>
      <c r="P518" s="1">
        <v>0</v>
      </c>
      <c r="Q518" s="1">
        <f t="shared" si="54"/>
        <v>0.47465134913384505</v>
      </c>
      <c r="R518" s="1">
        <f t="shared" si="55"/>
        <v>16729.086800222369</v>
      </c>
    </row>
    <row r="519" spans="1:33" ht="30" x14ac:dyDescent="0.25">
      <c r="I519" s="84"/>
      <c r="J519" s="62" t="s">
        <v>52</v>
      </c>
      <c r="K519" s="85">
        <f>AB509*AB510*AB511*AB512</f>
        <v>0.99456658831525679</v>
      </c>
      <c r="L519" s="1">
        <f>AC512+0*L502-F512</f>
        <v>168.33333333333337</v>
      </c>
      <c r="M519" s="1">
        <f>B519*C519*AH509+E519*F519*AH510+H519*I519*AH511+K519*L519*AH512</f>
        <v>11217.053505215574</v>
      </c>
      <c r="O519" s="64" t="s">
        <v>65</v>
      </c>
      <c r="P519" s="65">
        <f>SUM(P515:P518)</f>
        <v>37280</v>
      </c>
      <c r="Q519" s="96" t="s">
        <v>108</v>
      </c>
      <c r="R519" s="97">
        <f>SUM(R515:R518)</f>
        <v>60853.737557908855</v>
      </c>
    </row>
    <row r="520" spans="1:33" x14ac:dyDescent="0.25">
      <c r="L520" s="176" t="s">
        <v>63</v>
      </c>
      <c r="M520" s="177">
        <f>SUM(M515:M519)</f>
        <v>20081.96745478209</v>
      </c>
    </row>
    <row r="521" spans="1:33" x14ac:dyDescent="0.25">
      <c r="L521" s="176"/>
      <c r="M521" s="177"/>
    </row>
    <row r="522" spans="1:33" x14ac:dyDescent="0.25">
      <c r="A522" s="178" t="s">
        <v>90</v>
      </c>
      <c r="B522" s="178"/>
      <c r="C522" s="178"/>
      <c r="D522" s="178"/>
      <c r="E522" s="178"/>
      <c r="F522" s="178"/>
      <c r="G522" s="178"/>
      <c r="H522" s="178"/>
      <c r="I522" s="178"/>
      <c r="J522" s="178"/>
      <c r="K522" s="178"/>
      <c r="L522" s="178"/>
      <c r="M522" s="178"/>
      <c r="N522" s="178"/>
    </row>
    <row r="523" spans="1:33" ht="15.75" x14ac:dyDescent="0.25">
      <c r="A523" s="87" t="s">
        <v>75</v>
      </c>
      <c r="B523" s="62" t="s">
        <v>49</v>
      </c>
      <c r="C523" s="90" t="s">
        <v>87</v>
      </c>
      <c r="D523" s="62" t="s">
        <v>88</v>
      </c>
      <c r="E523" s="87" t="s">
        <v>77</v>
      </c>
      <c r="F523" s="62" t="s">
        <v>57</v>
      </c>
      <c r="G523" s="90" t="s">
        <v>78</v>
      </c>
      <c r="H523" s="62" t="s">
        <v>88</v>
      </c>
      <c r="I523" s="87" t="s">
        <v>86</v>
      </c>
      <c r="J523" s="62" t="s">
        <v>61</v>
      </c>
      <c r="K523" s="90" t="s">
        <v>103</v>
      </c>
      <c r="L523" s="62" t="s">
        <v>88</v>
      </c>
      <c r="M523" s="87" t="s">
        <v>76</v>
      </c>
      <c r="N523" s="62" t="s">
        <v>84</v>
      </c>
      <c r="O523" s="90" t="s">
        <v>102</v>
      </c>
      <c r="P523" s="62" t="s">
        <v>88</v>
      </c>
    </row>
    <row r="524" spans="1:33" ht="24.75" x14ac:dyDescent="0.25">
      <c r="A524" s="62" t="s">
        <v>51</v>
      </c>
      <c r="B524" s="86">
        <v>2.9465138194053318E-5</v>
      </c>
      <c r="C524" s="86">
        <f>AC509+1*L502</f>
        <v>89</v>
      </c>
      <c r="D524" s="86">
        <f>MAX(B524*1.5*((C524-F509)*500/2),0)</f>
        <v>0.14364254869600993</v>
      </c>
      <c r="E524" s="62" t="s">
        <v>55</v>
      </c>
      <c r="F524" s="86">
        <v>1.4214907871310384E-8</v>
      </c>
      <c r="G524" s="86">
        <f>AC510+2*L502</f>
        <v>156</v>
      </c>
      <c r="H524" s="86">
        <f>F524*1.5*((G524-F510)*500/2+(G524-F511)*500+(G524-F512)*500)</f>
        <v>1.0874404521552443E-3</v>
      </c>
      <c r="I524" s="62" t="s">
        <v>59</v>
      </c>
      <c r="J524" s="86">
        <v>4.8743139261265333E-11</v>
      </c>
      <c r="K524" s="86">
        <f>AC511+3*L502</f>
        <v>245.66666666666669</v>
      </c>
      <c r="L524" s="86">
        <f>J524*1.5*((K524-G524)*500/2+(K524-G524)*500)</f>
        <v>4.9169641729801422E-6</v>
      </c>
      <c r="M524" s="62" t="s">
        <v>83</v>
      </c>
      <c r="N524" s="86">
        <v>7.3123411602569452E-14</v>
      </c>
      <c r="O524" s="86">
        <f>AC512+4*L502</f>
        <v>311.33333333333337</v>
      </c>
      <c r="P524" s="86">
        <f>N524*1.5*((O524-K524)*500/2)</f>
        <v>1.8006640107132732E-9</v>
      </c>
    </row>
    <row r="525" spans="1:33" ht="24.75" x14ac:dyDescent="0.25">
      <c r="A525" s="62" t="s">
        <v>52</v>
      </c>
      <c r="B525" s="86">
        <v>0.99997053486180598</v>
      </c>
      <c r="C525" s="88">
        <f>AC509</f>
        <v>77</v>
      </c>
      <c r="D525" s="86">
        <f>MAX(B525*1.5*((C525-F509)*500/2),0)</f>
        <v>374.98895057317725</v>
      </c>
      <c r="E525" s="62" t="s">
        <v>56</v>
      </c>
      <c r="F525" s="86">
        <v>5.118681084176715E-4</v>
      </c>
      <c r="G525" s="86">
        <f>AC510+1*L502</f>
        <v>144</v>
      </c>
      <c r="H525" s="86">
        <f>F525*1.5*((G525-F510)*500/2+(G525-F511)*500+(G525-F512)*500)</f>
        <v>27.640877854554262</v>
      </c>
      <c r="I525" s="62" t="s">
        <v>60</v>
      </c>
      <c r="J525" s="86">
        <v>1.7693698366713617E-6</v>
      </c>
      <c r="K525" s="86">
        <f>AC511+2*L502</f>
        <v>233.66666666666669</v>
      </c>
      <c r="L525" s="86">
        <f>J525*1.5*((K525-G525)*500/2+(K525-G525)*500)</f>
        <v>0.17848518227422366</v>
      </c>
      <c r="M525" s="62" t="s">
        <v>59</v>
      </c>
      <c r="N525" s="86">
        <v>2.530289363081967E-9</v>
      </c>
      <c r="O525" s="86">
        <f>AC512+3*L502</f>
        <v>299.33333333333337</v>
      </c>
      <c r="P525" s="86">
        <f>N525*1.5*((O525-K525)*500/2)</f>
        <v>6.2308375565893462E-5</v>
      </c>
    </row>
    <row r="526" spans="1:33" x14ac:dyDescent="0.25">
      <c r="A526" s="86"/>
      <c r="B526" s="86"/>
      <c r="C526" s="89" t="s">
        <v>89</v>
      </c>
      <c r="D526" s="89">
        <f>SUM(D524:D525)</f>
        <v>375.13259312187324</v>
      </c>
      <c r="E526" s="62" t="s">
        <v>52</v>
      </c>
      <c r="F526" s="86">
        <v>0.99948811767667456</v>
      </c>
      <c r="G526" s="86">
        <f>AC510+0*L502</f>
        <v>132</v>
      </c>
      <c r="H526" s="86">
        <f>F526*1.5*((G526-F510)*500/2+(G526-F512)*500)</f>
        <v>37480.804412875295</v>
      </c>
      <c r="I526" s="62" t="s">
        <v>56</v>
      </c>
      <c r="J526" s="86">
        <v>3.09976354212635E-5</v>
      </c>
      <c r="K526" s="86">
        <f>AC511+1*L502</f>
        <v>221.66666666666669</v>
      </c>
      <c r="L526" s="86">
        <f>J526*1.5*((K526-F511)*500/2+(K526-G526)*500)</f>
        <v>3.033893566856166</v>
      </c>
      <c r="M526" s="62" t="s">
        <v>60</v>
      </c>
      <c r="N526" s="86">
        <v>7.6734781650990781E-6</v>
      </c>
      <c r="O526" s="86">
        <f>AC512+2*L502</f>
        <v>287.33333333333337</v>
      </c>
      <c r="P526" s="86">
        <f>N526*1.5*((O526-K526)*500/2)</f>
        <v>0.18895939981556487</v>
      </c>
    </row>
    <row r="527" spans="1:33" x14ac:dyDescent="0.25">
      <c r="A527" s="86"/>
      <c r="B527" s="86"/>
      <c r="C527" s="86"/>
      <c r="D527" s="86"/>
      <c r="E527" s="86"/>
      <c r="F527" s="86"/>
      <c r="G527" s="89" t="s">
        <v>79</v>
      </c>
      <c r="H527" s="89">
        <f>SUM(H524:H526)</f>
        <v>37508.446378170302</v>
      </c>
      <c r="I527" s="62" t="s">
        <v>52</v>
      </c>
      <c r="J527" s="86">
        <v>0.99606085744038275</v>
      </c>
      <c r="K527" s="86">
        <f>AC511+0*L502</f>
        <v>209.66666666666669</v>
      </c>
      <c r="L527" s="86">
        <f>J527*1.5*((K527-F511)*500/2+(K527-G526)*500)</f>
        <v>84042.634846532324</v>
      </c>
      <c r="M527" s="62" t="s">
        <v>56</v>
      </c>
      <c r="N527" s="86">
        <v>5.4257355034644014E-3</v>
      </c>
      <c r="O527" s="86">
        <f>AC512+1*L502</f>
        <v>275.33333333333337</v>
      </c>
      <c r="P527" s="86">
        <f>N527*1.5*((O527-K527)*500/2)</f>
        <v>133.60873677281091</v>
      </c>
    </row>
    <row r="528" spans="1:33" x14ac:dyDescent="0.25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9" t="s">
        <v>79</v>
      </c>
      <c r="L528" s="89">
        <f>SUM(L524:L527)</f>
        <v>84045.847230198415</v>
      </c>
      <c r="M528" s="62" t="s">
        <v>52</v>
      </c>
      <c r="N528" s="86">
        <v>0.99456658831525679</v>
      </c>
      <c r="O528" s="86">
        <f>AC512+0*L502</f>
        <v>263.33333333333337</v>
      </c>
      <c r="P528" s="86">
        <f>N528*1.5*((O528-K527)*500/2)</f>
        <v>20015.652589844551</v>
      </c>
      <c r="Q528" s="179" t="s">
        <v>80</v>
      </c>
      <c r="R528" s="179"/>
      <c r="S528" s="180">
        <f>D526+H527+L528+P529</f>
        <v>142078.87654981794</v>
      </c>
      <c r="T528" s="180"/>
    </row>
    <row r="529" spans="1:22" x14ac:dyDescent="0.25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9" t="s">
        <v>79</v>
      </c>
      <c r="P529" s="89">
        <f>SUM(P524:P528)</f>
        <v>20149.450348327355</v>
      </c>
      <c r="Q529" s="179"/>
      <c r="R529" s="179"/>
      <c r="S529" s="180"/>
      <c r="T529" s="180"/>
    </row>
    <row r="530" spans="1:22" x14ac:dyDescent="0.25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</row>
    <row r="531" spans="1:22" x14ac:dyDescent="0.25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</row>
    <row r="532" spans="1:22" x14ac:dyDescent="0.25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</row>
    <row r="533" spans="1:22" ht="24.75" thickBot="1" x14ac:dyDescent="0.3">
      <c r="O533" s="131" t="s">
        <v>81</v>
      </c>
      <c r="P533" s="131"/>
      <c r="Q533" s="131">
        <f>(R519+P519+M520+S528)/AC512</f>
        <v>988.46043631332475</v>
      </c>
      <c r="R533" s="131"/>
    </row>
    <row r="534" spans="1:22" x14ac:dyDescent="0.25">
      <c r="A534" s="181" t="s">
        <v>119</v>
      </c>
      <c r="B534" s="182"/>
    </row>
    <row r="535" spans="1:22" ht="15.75" thickBot="1" x14ac:dyDescent="0.3">
      <c r="A535" s="183"/>
      <c r="B535" s="184"/>
    </row>
    <row r="536" spans="1:22" ht="21" x14ac:dyDescent="0.35">
      <c r="A536" s="185" t="s">
        <v>14</v>
      </c>
      <c r="B536" s="185"/>
      <c r="C536" s="165"/>
      <c r="D536" s="165"/>
      <c r="E536" s="165"/>
      <c r="F536" s="165"/>
      <c r="G536" s="165"/>
      <c r="H536" s="165"/>
      <c r="I536" s="165"/>
      <c r="J536" s="165"/>
      <c r="K536" s="165"/>
      <c r="L536" s="165"/>
      <c r="M536" s="165"/>
      <c r="O536" s="166" t="s">
        <v>72</v>
      </c>
      <c r="P536" s="166"/>
      <c r="Q536" s="166"/>
      <c r="R536" s="166"/>
      <c r="S536" s="166"/>
      <c r="T536" s="166"/>
      <c r="U536" s="166"/>
      <c r="V536" s="166"/>
    </row>
    <row r="537" spans="1:22" ht="36" x14ac:dyDescent="0.25">
      <c r="A537" s="4" t="s">
        <v>15</v>
      </c>
      <c r="B537" s="4" t="s">
        <v>16</v>
      </c>
      <c r="C537" s="4" t="s">
        <v>31</v>
      </c>
      <c r="D537" s="6" t="s">
        <v>17</v>
      </c>
      <c r="E537" s="6" t="s">
        <v>18</v>
      </c>
      <c r="F537" s="6" t="s">
        <v>19</v>
      </c>
      <c r="G537" s="6" t="s">
        <v>20</v>
      </c>
      <c r="H537" s="6" t="s">
        <v>21</v>
      </c>
      <c r="I537" s="6" t="s">
        <v>22</v>
      </c>
      <c r="J537" s="6" t="s">
        <v>23</v>
      </c>
      <c r="K537" s="6" t="s">
        <v>24</v>
      </c>
      <c r="L537" s="6" t="s">
        <v>25</v>
      </c>
      <c r="M537" s="6" t="s">
        <v>26</v>
      </c>
      <c r="N537" s="8"/>
      <c r="O537" s="167" t="s">
        <v>32</v>
      </c>
      <c r="P537" s="167" t="s">
        <v>35</v>
      </c>
      <c r="Q537" s="167" t="s">
        <v>66</v>
      </c>
      <c r="R537" s="99" t="s">
        <v>67</v>
      </c>
      <c r="S537" s="99" t="s">
        <v>68</v>
      </c>
      <c r="T537" s="167" t="s">
        <v>69</v>
      </c>
      <c r="U537" s="71" t="s">
        <v>33</v>
      </c>
      <c r="V537" s="99" t="s">
        <v>70</v>
      </c>
    </row>
    <row r="538" spans="1:22" x14ac:dyDescent="0.25">
      <c r="A538" s="3" t="s">
        <v>27</v>
      </c>
      <c r="B538" s="3">
        <v>0</v>
      </c>
      <c r="C538" s="3">
        <v>0.3</v>
      </c>
      <c r="D538" s="3">
        <v>243</v>
      </c>
      <c r="E538" s="3">
        <v>1.73</v>
      </c>
      <c r="F538" s="3">
        <v>5</v>
      </c>
      <c r="G538" s="169">
        <v>12</v>
      </c>
      <c r="H538" s="3">
        <v>1820</v>
      </c>
      <c r="I538" s="169">
        <v>19645</v>
      </c>
      <c r="J538" s="3">
        <v>20</v>
      </c>
      <c r="K538" s="3">
        <v>40</v>
      </c>
      <c r="L538" s="3">
        <v>500</v>
      </c>
      <c r="M538" s="3">
        <v>1000</v>
      </c>
      <c r="O538" s="168"/>
      <c r="P538" s="168"/>
      <c r="Q538" s="168"/>
      <c r="R538" s="72" t="s">
        <v>71</v>
      </c>
      <c r="S538" s="72" t="s">
        <v>71</v>
      </c>
      <c r="T538" s="168"/>
      <c r="U538" s="73">
        <v>500</v>
      </c>
      <c r="V538" s="3">
        <v>1.5</v>
      </c>
    </row>
    <row r="539" spans="1:22" x14ac:dyDescent="0.25">
      <c r="A539" s="3" t="s">
        <v>28</v>
      </c>
      <c r="B539" s="3">
        <v>0</v>
      </c>
      <c r="C539" s="3">
        <v>0.3</v>
      </c>
      <c r="D539" s="3">
        <v>254</v>
      </c>
      <c r="E539" s="3">
        <v>1.88</v>
      </c>
      <c r="F539" s="3">
        <v>3</v>
      </c>
      <c r="G539" s="170"/>
      <c r="H539" s="3">
        <v>2720</v>
      </c>
      <c r="I539" s="170"/>
      <c r="J539" s="5"/>
      <c r="K539" s="5"/>
      <c r="L539" s="5"/>
      <c r="M539" s="5"/>
      <c r="O539" s="74">
        <v>1</v>
      </c>
      <c r="P539" s="74">
        <v>106</v>
      </c>
      <c r="Q539" s="74">
        <v>110</v>
      </c>
      <c r="R539" s="74">
        <v>6</v>
      </c>
      <c r="S539" s="74">
        <v>5</v>
      </c>
      <c r="T539" s="74">
        <f>R539*$U$5/60+S539</f>
        <v>55</v>
      </c>
      <c r="U539" s="75"/>
    </row>
    <row r="540" spans="1:22" x14ac:dyDescent="0.25">
      <c r="A540" s="3" t="s">
        <v>29</v>
      </c>
      <c r="B540" s="3">
        <v>0</v>
      </c>
      <c r="C540" s="3">
        <v>0.3</v>
      </c>
      <c r="D540" s="3">
        <v>143</v>
      </c>
      <c r="E540" s="3">
        <v>2.4300000000000002</v>
      </c>
      <c r="F540" s="3">
        <v>8</v>
      </c>
      <c r="G540" s="170"/>
      <c r="H540" s="3">
        <v>3700</v>
      </c>
      <c r="I540" s="170"/>
      <c r="J540" s="5"/>
      <c r="K540" s="140" t="s">
        <v>73</v>
      </c>
      <c r="L540" s="141">
        <v>12</v>
      </c>
      <c r="M540" s="140" t="s">
        <v>74</v>
      </c>
      <c r="N540" s="141">
        <v>19645</v>
      </c>
      <c r="O540" s="74">
        <v>2</v>
      </c>
      <c r="P540" s="74">
        <v>76</v>
      </c>
      <c r="Q540" s="74">
        <v>40</v>
      </c>
      <c r="R540" s="74">
        <v>9</v>
      </c>
      <c r="S540" s="74">
        <v>2</v>
      </c>
      <c r="T540" s="74">
        <f t="shared" ref="T540:T542" si="56">R540*$U$5/60+S540</f>
        <v>77</v>
      </c>
      <c r="U540" s="75"/>
    </row>
    <row r="541" spans="1:22" x14ac:dyDescent="0.25">
      <c r="A541" s="3" t="s">
        <v>30</v>
      </c>
      <c r="B541" s="3">
        <v>0</v>
      </c>
      <c r="C541" s="3">
        <v>0.3</v>
      </c>
      <c r="D541" s="3">
        <v>449</v>
      </c>
      <c r="E541" s="3">
        <v>2.5299999999999998</v>
      </c>
      <c r="F541" s="3">
        <v>4</v>
      </c>
      <c r="G541" s="171"/>
      <c r="H541" s="3">
        <v>4320</v>
      </c>
      <c r="I541" s="171"/>
      <c r="J541" s="5"/>
      <c r="K541" s="140"/>
      <c r="L541" s="141"/>
      <c r="M541" s="140"/>
      <c r="N541" s="141"/>
      <c r="O541" s="74">
        <v>3</v>
      </c>
      <c r="P541" s="74">
        <v>95</v>
      </c>
      <c r="Q541" s="74">
        <v>67</v>
      </c>
      <c r="R541" s="74">
        <v>5</v>
      </c>
      <c r="S541" s="74">
        <v>4</v>
      </c>
      <c r="T541" s="74">
        <f t="shared" si="56"/>
        <v>45.666666666666664</v>
      </c>
      <c r="U541" s="75"/>
    </row>
    <row r="542" spans="1:22" ht="15.75" thickBo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O542" s="74">
        <v>4</v>
      </c>
      <c r="P542" s="74">
        <v>140</v>
      </c>
      <c r="Q542" s="94">
        <v>85</v>
      </c>
      <c r="R542" s="94">
        <v>8</v>
      </c>
      <c r="S542" s="94">
        <v>3</v>
      </c>
      <c r="T542" s="74">
        <f t="shared" si="56"/>
        <v>69.666666666666671</v>
      </c>
    </row>
    <row r="543" spans="1:22" ht="15" customHeight="1" x14ac:dyDescent="0.25">
      <c r="A543" s="172" t="s">
        <v>104</v>
      </c>
      <c r="B543" s="144" t="s">
        <v>105</v>
      </c>
      <c r="C543" s="144"/>
      <c r="D543" s="144"/>
      <c r="E543" s="144"/>
      <c r="F543" s="20" t="s">
        <v>27</v>
      </c>
      <c r="G543" s="20" t="s">
        <v>28</v>
      </c>
      <c r="H543" s="20" t="s">
        <v>29</v>
      </c>
      <c r="I543" s="20" t="s">
        <v>30</v>
      </c>
    </row>
    <row r="544" spans="1:22" ht="15.75" customHeight="1" thickBot="1" x14ac:dyDescent="0.3">
      <c r="A544" s="173"/>
      <c r="B544" s="145"/>
      <c r="C544" s="145"/>
      <c r="D544" s="145"/>
      <c r="E544" s="145"/>
      <c r="F544" s="20">
        <v>84</v>
      </c>
      <c r="G544" s="26">
        <v>84</v>
      </c>
      <c r="H544" s="26">
        <v>84</v>
      </c>
      <c r="I544" s="26">
        <v>252</v>
      </c>
    </row>
    <row r="545" spans="1:34" ht="15.75" customHeight="1" thickBot="1" x14ac:dyDescent="0.3">
      <c r="A545" s="173"/>
      <c r="B545" s="145"/>
      <c r="C545" s="145"/>
      <c r="D545" s="145"/>
      <c r="E545" s="145"/>
      <c r="F545" s="7"/>
      <c r="G545" s="146" t="s">
        <v>27</v>
      </c>
      <c r="H545" s="147"/>
      <c r="I545" s="147"/>
      <c r="J545" s="147"/>
      <c r="K545" s="148"/>
      <c r="L545" s="149" t="s">
        <v>28</v>
      </c>
      <c r="M545" s="150"/>
      <c r="N545" s="150"/>
      <c r="O545" s="150"/>
      <c r="P545" s="151"/>
      <c r="Q545" s="152" t="s">
        <v>29</v>
      </c>
      <c r="R545" s="153"/>
      <c r="S545" s="153"/>
      <c r="T545" s="153"/>
      <c r="U545" s="154"/>
      <c r="V545" s="155" t="s">
        <v>30</v>
      </c>
      <c r="W545" s="156"/>
      <c r="X545" s="156"/>
      <c r="Y545" s="156"/>
      <c r="Z545" s="157"/>
      <c r="AA545" s="158" t="s">
        <v>42</v>
      </c>
      <c r="AB545" s="159"/>
      <c r="AC545" s="160" t="s">
        <v>44</v>
      </c>
      <c r="AD545" s="162" t="s">
        <v>47</v>
      </c>
      <c r="AE545" s="163"/>
      <c r="AF545" s="163"/>
      <c r="AG545" s="164"/>
      <c r="AH545" s="138" t="s">
        <v>62</v>
      </c>
    </row>
    <row r="546" spans="1:34" ht="36.75" x14ac:dyDescent="0.25">
      <c r="A546" s="21" t="s">
        <v>32</v>
      </c>
      <c r="B546" s="22" t="s">
        <v>37</v>
      </c>
      <c r="C546" s="23" t="s">
        <v>33</v>
      </c>
      <c r="D546" s="22" t="s">
        <v>38</v>
      </c>
      <c r="E546" s="22" t="s">
        <v>34</v>
      </c>
      <c r="F546" s="25" t="s">
        <v>35</v>
      </c>
      <c r="G546" s="27" t="s">
        <v>39</v>
      </c>
      <c r="H546" s="10" t="s">
        <v>40</v>
      </c>
      <c r="I546" s="10" t="s">
        <v>45</v>
      </c>
      <c r="J546" s="10" t="s">
        <v>46</v>
      </c>
      <c r="K546" s="28" t="s">
        <v>41</v>
      </c>
      <c r="L546" s="30" t="s">
        <v>39</v>
      </c>
      <c r="M546" s="13" t="s">
        <v>40</v>
      </c>
      <c r="N546" s="13" t="s">
        <v>45</v>
      </c>
      <c r="O546" s="13" t="s">
        <v>46</v>
      </c>
      <c r="P546" s="31" t="s">
        <v>41</v>
      </c>
      <c r="Q546" s="33" t="s">
        <v>39</v>
      </c>
      <c r="R546" s="12" t="s">
        <v>40</v>
      </c>
      <c r="S546" s="12" t="s">
        <v>45</v>
      </c>
      <c r="T546" s="12" t="s">
        <v>46</v>
      </c>
      <c r="U546" s="34" t="s">
        <v>41</v>
      </c>
      <c r="V546" s="36" t="s">
        <v>39</v>
      </c>
      <c r="W546" s="11" t="s">
        <v>40</v>
      </c>
      <c r="X546" s="11" t="s">
        <v>45</v>
      </c>
      <c r="Y546" s="11" t="s">
        <v>46</v>
      </c>
      <c r="Z546" s="37" t="s">
        <v>41</v>
      </c>
      <c r="AA546" s="39" t="s">
        <v>41</v>
      </c>
      <c r="AB546" s="40" t="s">
        <v>43</v>
      </c>
      <c r="AC546" s="161"/>
      <c r="AD546" s="43" t="s">
        <v>27</v>
      </c>
      <c r="AE546" s="1" t="s">
        <v>28</v>
      </c>
      <c r="AF546" s="1" t="s">
        <v>29</v>
      </c>
      <c r="AG546" s="1" t="s">
        <v>30</v>
      </c>
      <c r="AH546" s="139"/>
    </row>
    <row r="547" spans="1:34" x14ac:dyDescent="0.25">
      <c r="A547" s="24">
        <v>2</v>
      </c>
      <c r="B547" s="9">
        <v>9</v>
      </c>
      <c r="C547" s="9">
        <v>500</v>
      </c>
      <c r="D547" s="9">
        <v>2</v>
      </c>
      <c r="E547" s="48">
        <f>B547*C547/60+D547</f>
        <v>77</v>
      </c>
      <c r="F547" s="100">
        <v>76</v>
      </c>
      <c r="G547" s="49">
        <f>B$5*(1-AD547*C$5)</f>
        <v>0</v>
      </c>
      <c r="H547" s="50">
        <f>G547+E547</f>
        <v>77</v>
      </c>
      <c r="I547" s="15">
        <f>(H547/D$5)^E$5</f>
        <v>0.13693992990275231</v>
      </c>
      <c r="J547" s="15">
        <f>(G547/D$5)^E$5</f>
        <v>0</v>
      </c>
      <c r="K547" s="29">
        <f>1-EXP(J547-I547)</f>
        <v>0.1279773929583623</v>
      </c>
      <c r="L547" s="51">
        <f>B$6*(1-AE547*C$6)</f>
        <v>0</v>
      </c>
      <c r="M547" s="52">
        <f>L547+E547</f>
        <v>77</v>
      </c>
      <c r="N547" s="17">
        <f>(M547/D$6)^E$6</f>
        <v>0.10605109964467559</v>
      </c>
      <c r="O547" s="17">
        <f>(L547/D$6)^E$6</f>
        <v>0</v>
      </c>
      <c r="P547" s="32">
        <f>1-EXP(O547-N547)</f>
        <v>0.10062131102974814</v>
      </c>
      <c r="Q547" s="53">
        <f>B$7*(1-AF547*C$7)</f>
        <v>0</v>
      </c>
      <c r="R547" s="54">
        <f>Q547+E547</f>
        <v>77</v>
      </c>
      <c r="S547" s="16">
        <f>(R547/D$7)^E$7</f>
        <v>0.2221804751105394</v>
      </c>
      <c r="T547" s="16">
        <f>(Q547/D$7)^E$7</f>
        <v>0</v>
      </c>
      <c r="U547" s="35">
        <f>1-EXP(T547-S547)</f>
        <v>0.19922916791162293</v>
      </c>
      <c r="V547" s="55">
        <f>B$8*(1-AG547*C$8)</f>
        <v>0</v>
      </c>
      <c r="W547" s="56">
        <f>V547+E547</f>
        <v>77</v>
      </c>
      <c r="X547" s="18">
        <f>(W547/D$8)^E$8</f>
        <v>1.1551497592884551E-2</v>
      </c>
      <c r="Y547" s="18">
        <f>(V547/D$8)^E$8</f>
        <v>0</v>
      </c>
      <c r="Z547" s="38">
        <f>1-EXP(Y547-X547)</f>
        <v>1.1485035204098715E-2</v>
      </c>
      <c r="AA547" s="41">
        <f>K547*P547*U547*Z547</f>
        <v>2.9465138194053318E-5</v>
      </c>
      <c r="AB547" s="42">
        <f>1-AA547</f>
        <v>0.99997053486180598</v>
      </c>
      <c r="AC547" s="47">
        <f>(AD547*F$5+AE547*F$6+AF547*F$7+AG547*F$8)+E547</f>
        <v>77</v>
      </c>
      <c r="AD547" s="43">
        <v>0</v>
      </c>
      <c r="AE547" s="1">
        <v>0</v>
      </c>
      <c r="AF547" s="1">
        <v>0</v>
      </c>
      <c r="AG547" s="1">
        <v>0</v>
      </c>
      <c r="AH547" s="74">
        <v>40</v>
      </c>
    </row>
    <row r="548" spans="1:34" x14ac:dyDescent="0.25">
      <c r="A548" s="76">
        <v>3</v>
      </c>
      <c r="B548" s="58">
        <v>5</v>
      </c>
      <c r="C548" s="9">
        <v>500</v>
      </c>
      <c r="D548" s="58">
        <v>4</v>
      </c>
      <c r="E548" s="48">
        <f t="shared" ref="E548:E550" si="57">B548*C548/60+D548</f>
        <v>45.666666666666664</v>
      </c>
      <c r="F548" s="100">
        <v>95</v>
      </c>
      <c r="G548" s="49">
        <f>H547*(1-AD548*C$5)</f>
        <v>77</v>
      </c>
      <c r="H548" s="50">
        <f>G548+E548</f>
        <v>122.66666666666666</v>
      </c>
      <c r="I548" s="15">
        <f>(H548/D$5)^E$5</f>
        <v>0.30647715135734394</v>
      </c>
      <c r="J548" s="15">
        <f>(G548/D$5)^E$5</f>
        <v>0.13693992990275231</v>
      </c>
      <c r="K548" s="29">
        <f>1-EXP(J548-I548)</f>
        <v>0.15594466307173371</v>
      </c>
      <c r="L548" s="51">
        <f>M547*(1-AE548*C$6)</f>
        <v>77</v>
      </c>
      <c r="M548" s="52">
        <f>L548+E548</f>
        <v>122.66666666666666</v>
      </c>
      <c r="N548" s="17">
        <f>(M548/D$6)^E$6</f>
        <v>0.25451802994245737</v>
      </c>
      <c r="O548" s="17">
        <f>(L548/D$6)^E$6</f>
        <v>0.10605109964467559</v>
      </c>
      <c r="P548" s="32">
        <f>1-EXP(O548-N548)</f>
        <v>0.13797148627460298</v>
      </c>
      <c r="Q548" s="53">
        <f>R547*(1-AF548*C$7)</f>
        <v>77</v>
      </c>
      <c r="R548" s="54">
        <f>Q548+E548</f>
        <v>122.66666666666666</v>
      </c>
      <c r="S548" s="16">
        <f>(R548/D$7)^E$7</f>
        <v>0.68887270848465465</v>
      </c>
      <c r="T548" s="16">
        <f>(Q548/D$7)^E$7</f>
        <v>0.2221804751105394</v>
      </c>
      <c r="U548" s="35">
        <f>1-EXP(T548-S548)</f>
        <v>0.3729269471251826</v>
      </c>
      <c r="V548" s="55">
        <f>W547*(1-AG548*C$8)</f>
        <v>77</v>
      </c>
      <c r="W548" s="56">
        <f>V548+E548</f>
        <v>122.66666666666666</v>
      </c>
      <c r="X548" s="18">
        <f>(W548/D$8)^E$8</f>
        <v>3.7522776286050503E-2</v>
      </c>
      <c r="Y548" s="18">
        <f>(V548/D$8)^E$8</f>
        <v>1.1551497592884551E-2</v>
      </c>
      <c r="Z548" s="38">
        <f>1-EXP(Y548-X548)</f>
        <v>2.563692581230792E-2</v>
      </c>
      <c r="AA548" s="41">
        <f>K548*P548*U548*Z548</f>
        <v>2.0570723735404168E-4</v>
      </c>
      <c r="AB548" s="42">
        <f>1-AA548</f>
        <v>0.99979429276264598</v>
      </c>
      <c r="AC548" s="47">
        <f>AF548*F$7+E548+AC547</f>
        <v>122.66666666666666</v>
      </c>
      <c r="AD548" s="43">
        <v>0</v>
      </c>
      <c r="AE548" s="1">
        <v>0</v>
      </c>
      <c r="AF548" s="1">
        <v>0</v>
      </c>
      <c r="AG548" s="1">
        <v>0</v>
      </c>
      <c r="AH548" s="74">
        <v>67</v>
      </c>
    </row>
    <row r="549" spans="1:34" x14ac:dyDescent="0.25">
      <c r="A549" s="24">
        <v>1</v>
      </c>
      <c r="B549" s="9">
        <v>6</v>
      </c>
      <c r="C549" s="58">
        <v>500</v>
      </c>
      <c r="D549" s="58">
        <v>5</v>
      </c>
      <c r="E549" s="48">
        <f t="shared" si="57"/>
        <v>55</v>
      </c>
      <c r="F549" s="100">
        <v>106</v>
      </c>
      <c r="G549" s="68">
        <f>H548*(1-AD549*C$5)</f>
        <v>85.86666666666666</v>
      </c>
      <c r="H549" s="69">
        <f>G549+E549</f>
        <v>140.86666666666667</v>
      </c>
      <c r="I549" s="70">
        <f>(H549/D$5)^E$5</f>
        <v>0.3893493001630618</v>
      </c>
      <c r="J549" s="70">
        <f>(G549/D$5)^E$5</f>
        <v>0.16535514464725598</v>
      </c>
      <c r="K549" s="29">
        <f>1-EXP(J549-I549)</f>
        <v>0.20068019403231441</v>
      </c>
      <c r="L549" s="51">
        <f>M548*(1-AE549*C$6)</f>
        <v>85.86666666666666</v>
      </c>
      <c r="M549" s="52">
        <f>L549+E549</f>
        <v>140.86666666666667</v>
      </c>
      <c r="N549" s="17">
        <f>(M549/D$6)^E$6</f>
        <v>0.33012020048485397</v>
      </c>
      <c r="O549" s="17">
        <f>(L549/D$6)^E$6</f>
        <v>0.13016759122196553</v>
      </c>
      <c r="P549" s="32">
        <f>1-EXP(O549-N549)</f>
        <v>0.18123044574873304</v>
      </c>
      <c r="Q549" s="53">
        <f>R548*(1-AF549*C$7)</f>
        <v>85.86666666666666</v>
      </c>
      <c r="R549" s="54">
        <f>Q549+E549</f>
        <v>140.86666666666667</v>
      </c>
      <c r="S549" s="16">
        <f>(R549/D$7)^E$7</f>
        <v>0.9641341084452858</v>
      </c>
      <c r="T549" s="16">
        <f>(Q549/D$7)^E$7</f>
        <v>0.28955243173642403</v>
      </c>
      <c r="U549" s="35">
        <f>1-EXP(T549-S549)</f>
        <v>0.49063054284691032</v>
      </c>
      <c r="V549" s="55">
        <f>W548*(1-AG549*C$8)</f>
        <v>122.66666666666666</v>
      </c>
      <c r="W549" s="56">
        <f>V549+E549</f>
        <v>177.66666666666666</v>
      </c>
      <c r="X549" s="18">
        <f>(W549/D$8)^E$8</f>
        <v>9.5789922449281015E-2</v>
      </c>
      <c r="Y549" s="18">
        <f>(V549/D$8)^E$8</f>
        <v>3.7522776286050503E-2</v>
      </c>
      <c r="Z549" s="38">
        <f>1-EXP(Y549-X549)</f>
        <v>5.6602111356323093E-2</v>
      </c>
      <c r="AA549" s="41">
        <f>K549*P549*U549*Z549</f>
        <v>1.0100035094577026E-3</v>
      </c>
      <c r="AB549" s="42">
        <f>1-AA549</f>
        <v>0.99898999649054232</v>
      </c>
      <c r="AC549" s="47">
        <f>(AF549*F$7)+E549+AC548</f>
        <v>185.66666666666666</v>
      </c>
      <c r="AD549" s="77">
        <v>1</v>
      </c>
      <c r="AE549" s="78">
        <v>1</v>
      </c>
      <c r="AF549" s="78">
        <v>1</v>
      </c>
      <c r="AG549" s="78">
        <v>0</v>
      </c>
      <c r="AH549" s="74">
        <v>110</v>
      </c>
    </row>
    <row r="550" spans="1:34" ht="15.75" thickBot="1" x14ac:dyDescent="0.3">
      <c r="A550" s="57">
        <v>4</v>
      </c>
      <c r="B550" s="58">
        <v>8</v>
      </c>
      <c r="C550" s="58">
        <v>500</v>
      </c>
      <c r="D550" s="9">
        <v>3</v>
      </c>
      <c r="E550" s="48">
        <f t="shared" si="57"/>
        <v>69.666666666666671</v>
      </c>
      <c r="F550" s="100">
        <v>140</v>
      </c>
      <c r="G550" s="68">
        <f>H549*(1-AD550*C$5)</f>
        <v>98.606666666666669</v>
      </c>
      <c r="H550" s="69">
        <f>G550+E550</f>
        <v>168.27333333333334</v>
      </c>
      <c r="I550" s="70">
        <f>(H550/D$5)^E$5</f>
        <v>0.52955077969900988</v>
      </c>
      <c r="J550" s="70">
        <f>(G550/D$5)^E$5</f>
        <v>0.21006756804426371</v>
      </c>
      <c r="K550" s="29">
        <f>1-EXP(J550-I550)</f>
        <v>0.27347560058394416</v>
      </c>
      <c r="L550" s="51">
        <f>M549*(1-AE550*C$6)</f>
        <v>98.606666666666669</v>
      </c>
      <c r="M550" s="52">
        <f>L550+E550</f>
        <v>168.27333333333334</v>
      </c>
      <c r="N550" s="17">
        <f>(M550/D$6)^E$6</f>
        <v>0.46112787141135408</v>
      </c>
      <c r="O550" s="17">
        <f>(L550/D$6)^E$6</f>
        <v>0.16883264152461361</v>
      </c>
      <c r="P550" s="32">
        <f>1-EXP(O550-N550)</f>
        <v>0.25345189987571315</v>
      </c>
      <c r="Q550" s="53">
        <f>R549*(1-AF550*C$7)</f>
        <v>98.606666666666669</v>
      </c>
      <c r="R550" s="54">
        <f>Q550+E550</f>
        <v>168.27333333333334</v>
      </c>
      <c r="S550" s="16">
        <f>(R550/D$7)^E$7</f>
        <v>1.4850825755388559</v>
      </c>
      <c r="T550" s="16">
        <f>(Q550/D$7)^E$7</f>
        <v>0.4052524830522885</v>
      </c>
      <c r="U550" s="35">
        <f>1-EXP(T550-S550)</f>
        <v>0.66034676962163052</v>
      </c>
      <c r="V550" s="55">
        <f>W549*(1-AG550*C$8)</f>
        <v>177.66666666666666</v>
      </c>
      <c r="W550" s="56">
        <f>V550+E550</f>
        <v>247.33333333333331</v>
      </c>
      <c r="X550" s="18">
        <f>(W550/D$8)^E$8</f>
        <v>0.221218713919872</v>
      </c>
      <c r="Y550" s="18">
        <f>(V550/D$8)^E$8</f>
        <v>9.5789922449281015E-2</v>
      </c>
      <c r="Z550" s="38">
        <f>1-EXP(Y550-X550)</f>
        <v>0.11788142344277242</v>
      </c>
      <c r="AA550" s="41">
        <f>K550*P550*U550*Z550</f>
        <v>5.395498359840132E-3</v>
      </c>
      <c r="AB550" s="42">
        <f>1-AA550</f>
        <v>0.9946045016401599</v>
      </c>
      <c r="AC550" s="47">
        <f>(AF550*F$7)+E550+AC549</f>
        <v>263.33333333333331</v>
      </c>
      <c r="AD550" s="80">
        <v>1</v>
      </c>
      <c r="AE550" s="45">
        <v>1</v>
      </c>
      <c r="AF550" s="81">
        <v>1</v>
      </c>
      <c r="AG550" s="45">
        <v>0</v>
      </c>
      <c r="AH550" s="94">
        <v>85</v>
      </c>
    </row>
    <row r="551" spans="1:34" ht="18.75" x14ac:dyDescent="0.3">
      <c r="A551" s="132" t="s">
        <v>53</v>
      </c>
      <c r="B551" s="132"/>
      <c r="C551" s="132"/>
      <c r="D551" s="132"/>
      <c r="E551" s="132"/>
      <c r="F551" s="132"/>
      <c r="G551" s="132"/>
      <c r="H551" s="132"/>
      <c r="I551" s="132"/>
      <c r="J551" s="132"/>
      <c r="AG551" s="46"/>
    </row>
    <row r="552" spans="1:34" ht="15.75" x14ac:dyDescent="0.25">
      <c r="A552" s="19" t="s">
        <v>48</v>
      </c>
      <c r="B552" s="60" t="s">
        <v>49</v>
      </c>
      <c r="C552" s="61" t="s">
        <v>50</v>
      </c>
      <c r="D552" s="19" t="s">
        <v>54</v>
      </c>
      <c r="E552" s="60" t="s">
        <v>57</v>
      </c>
      <c r="F552" s="61" t="s">
        <v>50</v>
      </c>
      <c r="G552" s="19" t="s">
        <v>58</v>
      </c>
      <c r="H552" s="60" t="s">
        <v>61</v>
      </c>
      <c r="I552" s="61" t="s">
        <v>50</v>
      </c>
      <c r="J552" s="19" t="s">
        <v>82</v>
      </c>
      <c r="K552" s="83" t="s">
        <v>84</v>
      </c>
      <c r="L552" s="61" t="s">
        <v>50</v>
      </c>
      <c r="M552" s="61" t="s">
        <v>85</v>
      </c>
      <c r="O552" s="174" t="s">
        <v>64</v>
      </c>
      <c r="P552" s="174"/>
      <c r="Q552" s="175" t="s">
        <v>109</v>
      </c>
      <c r="R552" s="175"/>
    </row>
    <row r="553" spans="1:34" ht="24.75" x14ac:dyDescent="0.25">
      <c r="A553" s="61" t="s">
        <v>51</v>
      </c>
      <c r="B553" s="1">
        <f>AA547</f>
        <v>2.9465138194053318E-5</v>
      </c>
      <c r="C553" s="59">
        <f>MAX(AC547+1*L540-F547,0)</f>
        <v>13</v>
      </c>
      <c r="D553" s="62" t="s">
        <v>55</v>
      </c>
      <c r="E553" s="1">
        <f>AA547*AA548</f>
        <v>6.0611921761537649E-9</v>
      </c>
      <c r="F553" s="1">
        <f>MAX(AC548+2*L540-F548,0)</f>
        <v>51.666666666666657</v>
      </c>
      <c r="G553" s="62" t="s">
        <v>59</v>
      </c>
      <c r="H553" s="1">
        <f>AA547*AA548*AA549</f>
        <v>6.1218253694128717E-12</v>
      </c>
      <c r="I553" s="1">
        <f>AC549+3*L540-F549</f>
        <v>115.66666666666666</v>
      </c>
      <c r="J553" s="62" t="s">
        <v>83</v>
      </c>
      <c r="K553" s="1">
        <f>AA547*AA548*AA549*AA550</f>
        <v>3.303029873989486E-14</v>
      </c>
      <c r="L553" s="1">
        <f>AC550+4*L540-F550</f>
        <v>171.33333333333331</v>
      </c>
      <c r="M553" s="1">
        <f>B553*C553*AH547+E553*F553*AH548+H553*I553*AH549+K553*L553*AH550</f>
        <v>1.5342932058880212E-2</v>
      </c>
      <c r="O553" s="1" t="s">
        <v>27</v>
      </c>
      <c r="P553" s="1">
        <f>2*H538</f>
        <v>3640</v>
      </c>
      <c r="Q553" s="1">
        <f>(K547*(1-P547)*(1-U547)*(1-Z547))+(P547*(1-K547)*(1-U547)*(1-Z547))+(U547*(1-K547)*(1-P547)*(1-Z547))+(Z547*(1-K547)*(1-P547)*(1-U547))</f>
        <v>0.32223571239848364</v>
      </c>
      <c r="R553" s="1">
        <f>Q553*(L$7*(J$5*K$5+L$5)+I$5)</f>
        <v>11357.197683484555</v>
      </c>
    </row>
    <row r="554" spans="1:34" ht="24.75" x14ac:dyDescent="0.25">
      <c r="A554" s="62" t="s">
        <v>52</v>
      </c>
      <c r="B554" s="1">
        <f>AB547</f>
        <v>0.99997053486180598</v>
      </c>
      <c r="C554" s="59">
        <f>MAX(AC547-F547,0)</f>
        <v>1</v>
      </c>
      <c r="D554" s="62" t="s">
        <v>56</v>
      </c>
      <c r="E554" s="1">
        <f>AA547*AB548+AA548*AB547</f>
        <v>2.351602531637427E-4</v>
      </c>
      <c r="F554" s="1">
        <f>MAX(AC548+1*L540-F548,0)</f>
        <v>39.666666666666657</v>
      </c>
      <c r="G554" s="62" t="s">
        <v>60</v>
      </c>
      <c r="H554" s="1">
        <f>AA547*AA548*AB549+AA548*AA549*AB547+AA547*AA549*AB548</f>
        <v>2.4356775133112625E-7</v>
      </c>
      <c r="I554" s="1">
        <f>AC549+2*L540-F549</f>
        <v>103.66666666666666</v>
      </c>
      <c r="J554" s="62" t="s">
        <v>59</v>
      </c>
      <c r="K554">
        <f>AB547*AA548*AA549*AA550+AB548*AA547*AA549*AA550*+AB549*AA547*AA548*AA550+AB550*AA547*AA548*AA549</f>
        <v>1.1270516522684188E-9</v>
      </c>
      <c r="L554" s="1">
        <f>AC550+3*L540-F550</f>
        <v>159.33333333333331</v>
      </c>
      <c r="M554" s="1">
        <f>B554*C554*AH547+E554*F554*AH548+H554*I554*AH549+K554*L554*AH550</f>
        <v>40.626591708924295</v>
      </c>
      <c r="O554" s="1" t="s">
        <v>28</v>
      </c>
      <c r="P554" s="1">
        <f>2*H539</f>
        <v>5440</v>
      </c>
      <c r="Q554" s="1">
        <f t="shared" ref="Q554:Q556" si="58">(K548*(1-P548)*(1-U548)*(1-Z548))+(P548*(1-K548)*(1-U548)*(1-Z548))+(U548*(1-K548)*(1-P548)*(1-Z548))+(Z548*(1-K548)*(1-P548)*(1-U548))</f>
        <v>0.4293717752593712</v>
      </c>
      <c r="R554" s="1">
        <f t="shared" ref="R554:R556" si="59">Q554*(L$7*(J$5*K$5+L$5)+I$5)</f>
        <v>15133.208219016538</v>
      </c>
    </row>
    <row r="555" spans="1:34" ht="24.75" x14ac:dyDescent="0.25">
      <c r="A555" s="1"/>
      <c r="B555" s="1"/>
      <c r="C555" s="1"/>
      <c r="D555" s="62" t="s">
        <v>52</v>
      </c>
      <c r="E555" s="1">
        <f>AB547*AB548</f>
        <v>0.99976483368564417</v>
      </c>
      <c r="F555" s="59">
        <f>MAX(AC548-F548,0)</f>
        <v>27.666666666666657</v>
      </c>
      <c r="G555" s="62" t="s">
        <v>56</v>
      </c>
      <c r="H555" s="1">
        <f>AA547*AB548*AB549+AA548*AB547*AB549*+AA549*AB547*AB548</f>
        <v>2.9636823494764454E-5</v>
      </c>
      <c r="I555" s="1">
        <f>AC549+1*L540-F549</f>
        <v>91.666666666666657</v>
      </c>
      <c r="J555" s="62" t="s">
        <v>60</v>
      </c>
      <c r="K555" s="1">
        <f>AA547*AA548*AB549*AB550 + AA547*AA549*AB548*AB550 + AA547*AA550*AB548*AB549 + AA548*AA549*AB547*AB550 + AA548*AA550*AB547*AB549 + AA549*AA550*AB547*AB548</f>
        <v>6.9579695892930444E-6</v>
      </c>
      <c r="L555" s="1">
        <f>AC550+2*L540-F550</f>
        <v>147.33333333333331</v>
      </c>
      <c r="M555" s="1">
        <f>B555*C555*AH547+E555*F555*AH548+H555*I555*AH549+K555*L555*AH550</f>
        <v>1853.6167216513504</v>
      </c>
      <c r="O555" s="1" t="s">
        <v>29</v>
      </c>
      <c r="P555" s="1">
        <f>2*(F540*(J538*K538+L538)+H540)</f>
        <v>28200</v>
      </c>
      <c r="Q555" s="1">
        <f t="shared" si="58"/>
        <v>0.47036047402318948</v>
      </c>
      <c r="R555" s="1">
        <f t="shared" si="59"/>
        <v>16577.854906947312</v>
      </c>
    </row>
    <row r="556" spans="1:34" ht="24.75" x14ac:dyDescent="0.25">
      <c r="A556" s="1"/>
      <c r="B556" s="1"/>
      <c r="C556" s="1"/>
      <c r="D556" s="1"/>
      <c r="E556" s="1"/>
      <c r="F556" s="1"/>
      <c r="G556" s="62" t="s">
        <v>52</v>
      </c>
      <c r="H556" s="1">
        <f>AB547*AB548*AB549</f>
        <v>0.99875506769498934</v>
      </c>
      <c r="I556" s="63">
        <f>AC549-F549</f>
        <v>79.666666666666657</v>
      </c>
      <c r="J556" s="62" t="s">
        <v>56</v>
      </c>
      <c r="K556" s="1">
        <f>AA547*AB548*AB549*AB550+AA548*AB547*AB549*AB550+AA549*AB547*AB548*AB550+AA550*AB547*AB548*AB549</f>
        <v>6.6267543447606292E-3</v>
      </c>
      <c r="L556" s="1">
        <f>AC550+1*L540-F550</f>
        <v>135.33333333333331</v>
      </c>
      <c r="M556" s="1">
        <f>B556*C556*AH547+E556*F556*AH548+H556*I556*AH549+K556*L556*AH550</f>
        <v>8828.6533407129864</v>
      </c>
      <c r="O556" s="1" t="s">
        <v>30</v>
      </c>
      <c r="P556" s="1">
        <v>0</v>
      </c>
      <c r="Q556" s="1">
        <f t="shared" si="58"/>
        <v>0.45399900200769444</v>
      </c>
      <c r="R556" s="1">
        <f t="shared" si="59"/>
        <v>16001.194825761191</v>
      </c>
    </row>
    <row r="557" spans="1:34" ht="30" x14ac:dyDescent="0.25">
      <c r="I557" s="84"/>
      <c r="J557" s="62" t="s">
        <v>52</v>
      </c>
      <c r="K557" s="85">
        <f>AB547*AB548*AB549*AB550</f>
        <v>0.99336628636535906</v>
      </c>
      <c r="L557" s="1">
        <f>AC550+0*L540-F550</f>
        <v>123.33333333333331</v>
      </c>
      <c r="M557" s="1">
        <f>B557*C557*AH547+E557*F557*AH548+H557*I557*AH549+K557*L557*AH550</f>
        <v>10413.789902063512</v>
      </c>
      <c r="O557" s="64" t="s">
        <v>65</v>
      </c>
      <c r="P557" s="65">
        <f>SUM(P553:P556)</f>
        <v>37280</v>
      </c>
      <c r="Q557" s="96" t="s">
        <v>108</v>
      </c>
      <c r="R557" s="97">
        <f>SUM(R553:R556)</f>
        <v>59069.455635209597</v>
      </c>
    </row>
    <row r="558" spans="1:34" x14ac:dyDescent="0.25">
      <c r="L558" s="176" t="s">
        <v>63</v>
      </c>
      <c r="M558" s="177">
        <f>SUM(M553:M557)</f>
        <v>21136.70189906883</v>
      </c>
    </row>
    <row r="559" spans="1:34" x14ac:dyDescent="0.25">
      <c r="L559" s="176"/>
      <c r="M559" s="177"/>
    </row>
    <row r="560" spans="1:34" x14ac:dyDescent="0.25">
      <c r="A560" s="178" t="s">
        <v>90</v>
      </c>
      <c r="B560" s="178"/>
      <c r="C560" s="178"/>
      <c r="D560" s="178"/>
      <c r="E560" s="178"/>
      <c r="F560" s="178"/>
      <c r="G560" s="178"/>
      <c r="H560" s="178"/>
      <c r="I560" s="178"/>
      <c r="J560" s="178"/>
      <c r="K560" s="178"/>
      <c r="L560" s="178"/>
      <c r="M560" s="178"/>
      <c r="N560" s="178"/>
    </row>
    <row r="561" spans="1:22" ht="15.75" x14ac:dyDescent="0.25">
      <c r="A561" s="87" t="s">
        <v>75</v>
      </c>
      <c r="B561" s="62" t="s">
        <v>49</v>
      </c>
      <c r="C561" s="90" t="s">
        <v>87</v>
      </c>
      <c r="D561" s="62" t="s">
        <v>88</v>
      </c>
      <c r="E561" s="87" t="s">
        <v>76</v>
      </c>
      <c r="F561" s="62" t="s">
        <v>57</v>
      </c>
      <c r="G561" s="90" t="s">
        <v>102</v>
      </c>
      <c r="H561" s="62" t="s">
        <v>88</v>
      </c>
      <c r="I561" s="87" t="s">
        <v>77</v>
      </c>
      <c r="J561" s="62" t="s">
        <v>61</v>
      </c>
      <c r="K561" s="90" t="s">
        <v>78</v>
      </c>
      <c r="L561" s="62" t="s">
        <v>88</v>
      </c>
      <c r="M561" s="87" t="s">
        <v>86</v>
      </c>
      <c r="N561" s="62" t="s">
        <v>84</v>
      </c>
      <c r="O561" s="90" t="s">
        <v>103</v>
      </c>
      <c r="P561" s="62" t="s">
        <v>88</v>
      </c>
    </row>
    <row r="562" spans="1:22" ht="24.75" x14ac:dyDescent="0.25">
      <c r="A562" s="62" t="s">
        <v>51</v>
      </c>
      <c r="B562" s="86">
        <v>2.9465138194053318E-5</v>
      </c>
      <c r="C562" s="86">
        <f>AC547+1*L540</f>
        <v>89</v>
      </c>
      <c r="D562" s="86">
        <f>MAX(B562*1.5*((C562-F547)*500/2),0)</f>
        <v>0.14364254869600993</v>
      </c>
      <c r="E562" s="62" t="s">
        <v>55</v>
      </c>
      <c r="F562" s="86">
        <v>6.0611921761537649E-9</v>
      </c>
      <c r="G562" s="86">
        <f>AC548+2*L540</f>
        <v>146.66666666666666</v>
      </c>
      <c r="H562" s="86">
        <f>F562*1.5*((G562-F548)*500/2+(G562-F549)*500+(G562-F550)*500)</f>
        <v>3.3260792066643774E-4</v>
      </c>
      <c r="I562" s="62" t="s">
        <v>59</v>
      </c>
      <c r="J562" s="86">
        <v>6.1218253694128717E-12</v>
      </c>
      <c r="K562" s="86">
        <f>AC549+3*L540</f>
        <v>221.66666666666666</v>
      </c>
      <c r="L562" s="86">
        <f>J562*1.5*((K562-G562)*500/2+(K562-G562)*500)</f>
        <v>5.16529015544211E-7</v>
      </c>
      <c r="M562" s="62" t="s">
        <v>83</v>
      </c>
      <c r="N562" s="86">
        <v>3.303029873989486E-14</v>
      </c>
      <c r="O562" s="86">
        <f>AC550+4*L540</f>
        <v>311.33333333333331</v>
      </c>
      <c r="P562" s="86">
        <f>N562*1.5*((O562-K562)*500/2)</f>
        <v>1.1106437951289645E-9</v>
      </c>
    </row>
    <row r="563" spans="1:22" ht="24.75" x14ac:dyDescent="0.25">
      <c r="A563" s="62" t="s">
        <v>52</v>
      </c>
      <c r="B563" s="86">
        <v>0.99997053486180598</v>
      </c>
      <c r="C563" s="88">
        <f>AC547</f>
        <v>77</v>
      </c>
      <c r="D563" s="86">
        <f>MAX(B563*1.5*((C563-F547)*500/2),0)</f>
        <v>374.98895057317725</v>
      </c>
      <c r="E563" s="62" t="s">
        <v>56</v>
      </c>
      <c r="F563" s="86">
        <v>2.351602531637427E-4</v>
      </c>
      <c r="G563" s="86">
        <f>AC548+1*L540</f>
        <v>134.66666666666666</v>
      </c>
      <c r="H563" s="86">
        <f>F563*1.5*((G563-F548)*500/2+(G563-F549)*500)</f>
        <v>8.5539542088311382</v>
      </c>
      <c r="I563" s="62" t="s">
        <v>60</v>
      </c>
      <c r="J563" s="86">
        <v>2.4356775133112625E-7</v>
      </c>
      <c r="K563" s="86">
        <f>AC549+2*L540</f>
        <v>209.66666666666666</v>
      </c>
      <c r="L563" s="86">
        <f>J563*1.5*((K563-G563)*500/2+(K563-F550)*500)</f>
        <v>1.957675801323927E-2</v>
      </c>
      <c r="M563" s="62" t="s">
        <v>59</v>
      </c>
      <c r="N563" s="86">
        <v>1.1270516522684188E-9</v>
      </c>
      <c r="O563" s="86">
        <f>AC550+3*L540</f>
        <v>299.33333333333331</v>
      </c>
      <c r="P563" s="86">
        <f>N563*1.5*((O563-K563)*500/2)</f>
        <v>3.7897111807525579E-5</v>
      </c>
    </row>
    <row r="564" spans="1:22" x14ac:dyDescent="0.25">
      <c r="A564" s="86"/>
      <c r="B564" s="86"/>
      <c r="C564" s="89" t="s">
        <v>89</v>
      </c>
      <c r="D564" s="89">
        <f>SUM(D562:D563)</f>
        <v>375.13259312187324</v>
      </c>
      <c r="E564" s="62" t="s">
        <v>52</v>
      </c>
      <c r="F564" s="86">
        <v>0.99976483368564417</v>
      </c>
      <c r="G564" s="86">
        <f>AC548+0*L540</f>
        <v>122.66666666666666</v>
      </c>
      <c r="H564" s="86">
        <f>F564*1.5*((G564-F548)*500/2+(G564-F549)*500)</f>
        <v>22869.620570559102</v>
      </c>
      <c r="I564" s="62" t="s">
        <v>56</v>
      </c>
      <c r="J564" s="86">
        <v>2.9636823494764454E-5</v>
      </c>
      <c r="K564" s="86">
        <f>AC549+1*L540</f>
        <v>197.66666666666666</v>
      </c>
      <c r="L564" s="86">
        <f>J564*1.5*((K564-G564)*500/2+(K564-F550)*500)</f>
        <v>2.1153282769388126</v>
      </c>
      <c r="M564" s="62" t="s">
        <v>60</v>
      </c>
      <c r="N564" s="86">
        <v>6.9579695892930444E-6</v>
      </c>
      <c r="O564" s="86">
        <f>AC550+2*L540</f>
        <v>287.33333333333331</v>
      </c>
      <c r="P564" s="86">
        <f>N564*1.5*((O564-K564)*500/2)</f>
        <v>0.23396172743997859</v>
      </c>
    </row>
    <row r="565" spans="1:22" x14ac:dyDescent="0.25">
      <c r="A565" s="86"/>
      <c r="B565" s="86"/>
      <c r="C565" s="86"/>
      <c r="D565" s="86"/>
      <c r="E565" s="86"/>
      <c r="F565" s="86"/>
      <c r="G565" s="89" t="s">
        <v>79</v>
      </c>
      <c r="H565" s="89">
        <f>SUM(H562:H564)</f>
        <v>22878.174857375852</v>
      </c>
      <c r="I565" s="62" t="s">
        <v>52</v>
      </c>
      <c r="J565" s="86">
        <v>0.99875506769498934</v>
      </c>
      <c r="K565" s="86">
        <f>AC549+0*L540</f>
        <v>185.66666666666666</v>
      </c>
      <c r="L565" s="86">
        <f>J565*1.5*((K565-G564)*500/2+(K565-F550)*500)</f>
        <v>57802.949542847506</v>
      </c>
      <c r="M565" s="62" t="s">
        <v>56</v>
      </c>
      <c r="N565" s="86">
        <v>6.6267543447606292E-3</v>
      </c>
      <c r="O565" s="86">
        <f>AC550+1*L540</f>
        <v>275.33333333333331</v>
      </c>
      <c r="P565" s="86">
        <f>N565*1.5*((O565-K565)*500/2)</f>
        <v>222.82461484257615</v>
      </c>
    </row>
    <row r="566" spans="1:22" x14ac:dyDescent="0.25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9" t="s">
        <v>79</v>
      </c>
      <c r="L566" s="89">
        <f>SUM(L562:L565)</f>
        <v>57805.084448398986</v>
      </c>
      <c r="M566" s="62" t="s">
        <v>52</v>
      </c>
      <c r="N566" s="86">
        <v>0.99336628636535906</v>
      </c>
      <c r="O566" s="86">
        <f>AC550+0*L540</f>
        <v>263.33333333333331</v>
      </c>
      <c r="P566" s="86">
        <f>N566*1.5*((O566-K565)*500/2)</f>
        <v>28931.793090391082</v>
      </c>
      <c r="Q566" s="179" t="s">
        <v>80</v>
      </c>
      <c r="R566" s="179"/>
      <c r="S566" s="180">
        <f>D564+H565+L566+P567</f>
        <v>110213.24360375604</v>
      </c>
      <c r="T566" s="180"/>
    </row>
    <row r="567" spans="1:22" x14ac:dyDescent="0.25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9" t="s">
        <v>79</v>
      </c>
      <c r="P567" s="89">
        <f>SUM(P562:P566)</f>
        <v>29154.85170485932</v>
      </c>
      <c r="Q567" s="179"/>
      <c r="R567" s="179"/>
      <c r="S567" s="180"/>
      <c r="T567" s="180"/>
    </row>
    <row r="568" spans="1:22" x14ac:dyDescent="0.25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</row>
    <row r="569" spans="1:22" x14ac:dyDescent="0.25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</row>
    <row r="570" spans="1:22" x14ac:dyDescent="0.25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</row>
    <row r="571" spans="1:22" ht="24.75" thickBot="1" x14ac:dyDescent="0.3">
      <c r="O571" s="131" t="s">
        <v>81</v>
      </c>
      <c r="P571" s="131"/>
      <c r="Q571" s="131">
        <f>(R557+P557+M558+S566)/AC550</f>
        <v>864.68127014443473</v>
      </c>
      <c r="R571" s="131"/>
    </row>
    <row r="572" spans="1:22" x14ac:dyDescent="0.25">
      <c r="A572" s="181" t="s">
        <v>120</v>
      </c>
      <c r="B572" s="182"/>
    </row>
    <row r="573" spans="1:22" ht="15.75" thickBot="1" x14ac:dyDescent="0.3">
      <c r="A573" s="183"/>
      <c r="B573" s="184"/>
    </row>
    <row r="574" spans="1:22" ht="21" x14ac:dyDescent="0.35">
      <c r="A574" s="185" t="s">
        <v>14</v>
      </c>
      <c r="B574" s="185"/>
      <c r="C574" s="165"/>
      <c r="D574" s="165"/>
      <c r="E574" s="165"/>
      <c r="F574" s="165"/>
      <c r="G574" s="165"/>
      <c r="H574" s="165"/>
      <c r="I574" s="165"/>
      <c r="J574" s="165"/>
      <c r="K574" s="165"/>
      <c r="L574" s="165"/>
      <c r="M574" s="165"/>
      <c r="O574" s="166" t="s">
        <v>72</v>
      </c>
      <c r="P574" s="166"/>
      <c r="Q574" s="166"/>
      <c r="R574" s="166"/>
      <c r="S574" s="166"/>
      <c r="T574" s="166"/>
      <c r="U574" s="166"/>
      <c r="V574" s="166"/>
    </row>
    <row r="575" spans="1:22" ht="36" x14ac:dyDescent="0.25">
      <c r="A575" s="4" t="s">
        <v>15</v>
      </c>
      <c r="B575" s="4" t="s">
        <v>16</v>
      </c>
      <c r="C575" s="4" t="s">
        <v>31</v>
      </c>
      <c r="D575" s="6" t="s">
        <v>17</v>
      </c>
      <c r="E575" s="6" t="s">
        <v>18</v>
      </c>
      <c r="F575" s="6" t="s">
        <v>19</v>
      </c>
      <c r="G575" s="6" t="s">
        <v>20</v>
      </c>
      <c r="H575" s="6" t="s">
        <v>21</v>
      </c>
      <c r="I575" s="6" t="s">
        <v>22</v>
      </c>
      <c r="J575" s="6" t="s">
        <v>23</v>
      </c>
      <c r="K575" s="6" t="s">
        <v>24</v>
      </c>
      <c r="L575" s="6" t="s">
        <v>25</v>
      </c>
      <c r="M575" s="6" t="s">
        <v>26</v>
      </c>
      <c r="N575" s="8"/>
      <c r="O575" s="167" t="s">
        <v>32</v>
      </c>
      <c r="P575" s="167" t="s">
        <v>35</v>
      </c>
      <c r="Q575" s="167" t="s">
        <v>66</v>
      </c>
      <c r="R575" s="99" t="s">
        <v>67</v>
      </c>
      <c r="S575" s="99" t="s">
        <v>68</v>
      </c>
      <c r="T575" s="167" t="s">
        <v>69</v>
      </c>
      <c r="U575" s="71" t="s">
        <v>33</v>
      </c>
      <c r="V575" s="99" t="s">
        <v>70</v>
      </c>
    </row>
    <row r="576" spans="1:22" x14ac:dyDescent="0.25">
      <c r="A576" s="3" t="s">
        <v>27</v>
      </c>
      <c r="B576" s="3">
        <v>0</v>
      </c>
      <c r="C576" s="3">
        <v>0.3</v>
      </c>
      <c r="D576" s="3">
        <v>243</v>
      </c>
      <c r="E576" s="3">
        <v>1.73</v>
      </c>
      <c r="F576" s="3">
        <v>5</v>
      </c>
      <c r="G576" s="169">
        <v>12</v>
      </c>
      <c r="H576" s="3">
        <v>1820</v>
      </c>
      <c r="I576" s="169">
        <v>19645</v>
      </c>
      <c r="J576" s="3">
        <v>20</v>
      </c>
      <c r="K576" s="3">
        <v>40</v>
      </c>
      <c r="L576" s="3">
        <v>500</v>
      </c>
      <c r="M576" s="3">
        <v>1000</v>
      </c>
      <c r="O576" s="168"/>
      <c r="P576" s="168"/>
      <c r="Q576" s="168"/>
      <c r="R576" s="72" t="s">
        <v>71</v>
      </c>
      <c r="S576" s="72" t="s">
        <v>71</v>
      </c>
      <c r="T576" s="168"/>
      <c r="U576" s="73">
        <v>500</v>
      </c>
      <c r="V576" s="3">
        <v>1.5</v>
      </c>
    </row>
    <row r="577" spans="1:34" x14ac:dyDescent="0.25">
      <c r="A577" s="3" t="s">
        <v>28</v>
      </c>
      <c r="B577" s="3">
        <v>0</v>
      </c>
      <c r="C577" s="3">
        <v>0.3</v>
      </c>
      <c r="D577" s="3">
        <v>254</v>
      </c>
      <c r="E577" s="3">
        <v>1.88</v>
      </c>
      <c r="F577" s="3">
        <v>3</v>
      </c>
      <c r="G577" s="170"/>
      <c r="H577" s="3">
        <v>2720</v>
      </c>
      <c r="I577" s="170"/>
      <c r="J577" s="5"/>
      <c r="K577" s="5"/>
      <c r="L577" s="5"/>
      <c r="M577" s="5"/>
      <c r="O577" s="74">
        <v>1</v>
      </c>
      <c r="P577" s="74">
        <v>106</v>
      </c>
      <c r="Q577" s="74">
        <v>110</v>
      </c>
      <c r="R577" s="74">
        <v>6</v>
      </c>
      <c r="S577" s="74">
        <v>5</v>
      </c>
      <c r="T577" s="74">
        <f>R577*$U$5/60+S577</f>
        <v>55</v>
      </c>
      <c r="U577" s="75"/>
    </row>
    <row r="578" spans="1:34" x14ac:dyDescent="0.25">
      <c r="A578" s="3" t="s">
        <v>29</v>
      </c>
      <c r="B578" s="3">
        <v>0</v>
      </c>
      <c r="C578" s="3">
        <v>0.3</v>
      </c>
      <c r="D578" s="3">
        <v>143</v>
      </c>
      <c r="E578" s="3">
        <v>2.4300000000000002</v>
      </c>
      <c r="F578" s="3">
        <v>8</v>
      </c>
      <c r="G578" s="170"/>
      <c r="H578" s="3">
        <v>3700</v>
      </c>
      <c r="I578" s="170"/>
      <c r="J578" s="5"/>
      <c r="K578" s="140" t="s">
        <v>73</v>
      </c>
      <c r="L578" s="141">
        <v>12</v>
      </c>
      <c r="M578" s="140" t="s">
        <v>74</v>
      </c>
      <c r="N578" s="141">
        <v>19645</v>
      </c>
      <c r="O578" s="74">
        <v>2</v>
      </c>
      <c r="P578" s="74">
        <v>76</v>
      </c>
      <c r="Q578" s="74">
        <v>40</v>
      </c>
      <c r="R578" s="74">
        <v>9</v>
      </c>
      <c r="S578" s="74">
        <v>2</v>
      </c>
      <c r="T578" s="74">
        <f t="shared" ref="T578:T580" si="60">R578*$U$5/60+S578</f>
        <v>77</v>
      </c>
      <c r="U578" s="75"/>
    </row>
    <row r="579" spans="1:34" x14ac:dyDescent="0.25">
      <c r="A579" s="3" t="s">
        <v>30</v>
      </c>
      <c r="B579" s="3">
        <v>0</v>
      </c>
      <c r="C579" s="3">
        <v>0.3</v>
      </c>
      <c r="D579" s="3">
        <v>449</v>
      </c>
      <c r="E579" s="3">
        <v>2.5299999999999998</v>
      </c>
      <c r="F579" s="3">
        <v>4</v>
      </c>
      <c r="G579" s="171"/>
      <c r="H579" s="3">
        <v>4320</v>
      </c>
      <c r="I579" s="171"/>
      <c r="J579" s="5"/>
      <c r="K579" s="140"/>
      <c r="L579" s="141"/>
      <c r="M579" s="140"/>
      <c r="N579" s="141"/>
      <c r="O579" s="74">
        <v>3</v>
      </c>
      <c r="P579" s="74">
        <v>95</v>
      </c>
      <c r="Q579" s="74">
        <v>67</v>
      </c>
      <c r="R579" s="74">
        <v>5</v>
      </c>
      <c r="S579" s="74">
        <v>4</v>
      </c>
      <c r="T579" s="74">
        <f t="shared" si="60"/>
        <v>45.666666666666664</v>
      </c>
      <c r="U579" s="75"/>
    </row>
    <row r="580" spans="1:34" ht="15.75" thickBo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O580" s="74">
        <v>4</v>
      </c>
      <c r="P580" s="74">
        <v>140</v>
      </c>
      <c r="Q580" s="94">
        <v>85</v>
      </c>
      <c r="R580" s="94">
        <v>8</v>
      </c>
      <c r="S580" s="94">
        <v>3</v>
      </c>
      <c r="T580" s="74">
        <f t="shared" si="60"/>
        <v>69.666666666666671</v>
      </c>
    </row>
    <row r="581" spans="1:34" ht="15" customHeight="1" x14ac:dyDescent="0.25">
      <c r="A581" s="172" t="s">
        <v>104</v>
      </c>
      <c r="B581" s="144" t="s">
        <v>105</v>
      </c>
      <c r="C581" s="144"/>
      <c r="D581" s="144"/>
      <c r="E581" s="144"/>
      <c r="F581" s="20" t="s">
        <v>27</v>
      </c>
      <c r="G581" s="20" t="s">
        <v>28</v>
      </c>
      <c r="H581" s="20" t="s">
        <v>29</v>
      </c>
      <c r="I581" s="20" t="s">
        <v>30</v>
      </c>
    </row>
    <row r="582" spans="1:34" ht="15.75" customHeight="1" thickBot="1" x14ac:dyDescent="0.3">
      <c r="A582" s="173"/>
      <c r="B582" s="145"/>
      <c r="C582" s="145"/>
      <c r="D582" s="145"/>
      <c r="E582" s="145"/>
      <c r="F582" s="20">
        <v>84</v>
      </c>
      <c r="G582" s="26">
        <v>84</v>
      </c>
      <c r="H582" s="26">
        <v>84</v>
      </c>
      <c r="I582" s="26">
        <v>252</v>
      </c>
    </row>
    <row r="583" spans="1:34" ht="15.75" customHeight="1" thickBot="1" x14ac:dyDescent="0.3">
      <c r="A583" s="173"/>
      <c r="B583" s="145"/>
      <c r="C583" s="145"/>
      <c r="D583" s="145"/>
      <c r="E583" s="145"/>
      <c r="F583" s="7"/>
      <c r="G583" s="146" t="s">
        <v>27</v>
      </c>
      <c r="H583" s="147"/>
      <c r="I583" s="147"/>
      <c r="J583" s="147"/>
      <c r="K583" s="148"/>
      <c r="L583" s="149" t="s">
        <v>28</v>
      </c>
      <c r="M583" s="150"/>
      <c r="N583" s="150"/>
      <c r="O583" s="150"/>
      <c r="P583" s="151"/>
      <c r="Q583" s="152" t="s">
        <v>29</v>
      </c>
      <c r="R583" s="153"/>
      <c r="S583" s="153"/>
      <c r="T583" s="153"/>
      <c r="U583" s="154"/>
      <c r="V583" s="155" t="s">
        <v>30</v>
      </c>
      <c r="W583" s="156"/>
      <c r="X583" s="156"/>
      <c r="Y583" s="156"/>
      <c r="Z583" s="157"/>
      <c r="AA583" s="158" t="s">
        <v>42</v>
      </c>
      <c r="AB583" s="159"/>
      <c r="AC583" s="160" t="s">
        <v>44</v>
      </c>
      <c r="AD583" s="162" t="s">
        <v>47</v>
      </c>
      <c r="AE583" s="163"/>
      <c r="AF583" s="163"/>
      <c r="AG583" s="164"/>
      <c r="AH583" s="138" t="s">
        <v>62</v>
      </c>
    </row>
    <row r="584" spans="1:34" ht="36.75" x14ac:dyDescent="0.25">
      <c r="A584" s="21" t="s">
        <v>32</v>
      </c>
      <c r="B584" s="22" t="s">
        <v>37</v>
      </c>
      <c r="C584" s="23" t="s">
        <v>33</v>
      </c>
      <c r="D584" s="22" t="s">
        <v>38</v>
      </c>
      <c r="E584" s="22" t="s">
        <v>34</v>
      </c>
      <c r="F584" s="25" t="s">
        <v>35</v>
      </c>
      <c r="G584" s="27" t="s">
        <v>39</v>
      </c>
      <c r="H584" s="10" t="s">
        <v>40</v>
      </c>
      <c r="I584" s="10" t="s">
        <v>45</v>
      </c>
      <c r="J584" s="10" t="s">
        <v>46</v>
      </c>
      <c r="K584" s="28" t="s">
        <v>41</v>
      </c>
      <c r="L584" s="30" t="s">
        <v>39</v>
      </c>
      <c r="M584" s="13" t="s">
        <v>40</v>
      </c>
      <c r="N584" s="13" t="s">
        <v>45</v>
      </c>
      <c r="O584" s="13" t="s">
        <v>46</v>
      </c>
      <c r="P584" s="31" t="s">
        <v>41</v>
      </c>
      <c r="Q584" s="33" t="s">
        <v>39</v>
      </c>
      <c r="R584" s="12" t="s">
        <v>40</v>
      </c>
      <c r="S584" s="12" t="s">
        <v>45</v>
      </c>
      <c r="T584" s="12" t="s">
        <v>46</v>
      </c>
      <c r="U584" s="34" t="s">
        <v>41</v>
      </c>
      <c r="V584" s="36" t="s">
        <v>39</v>
      </c>
      <c r="W584" s="11" t="s">
        <v>40</v>
      </c>
      <c r="X584" s="11" t="s">
        <v>45</v>
      </c>
      <c r="Y584" s="11" t="s">
        <v>46</v>
      </c>
      <c r="Z584" s="37" t="s">
        <v>41</v>
      </c>
      <c r="AA584" s="39" t="s">
        <v>41</v>
      </c>
      <c r="AB584" s="40" t="s">
        <v>43</v>
      </c>
      <c r="AC584" s="161"/>
      <c r="AD584" s="43" t="s">
        <v>27</v>
      </c>
      <c r="AE584" s="1" t="s">
        <v>28</v>
      </c>
      <c r="AF584" s="1" t="s">
        <v>29</v>
      </c>
      <c r="AG584" s="1" t="s">
        <v>30</v>
      </c>
      <c r="AH584" s="139"/>
    </row>
    <row r="585" spans="1:34" x14ac:dyDescent="0.25">
      <c r="A585" s="24">
        <v>2</v>
      </c>
      <c r="B585" s="9">
        <v>9</v>
      </c>
      <c r="C585" s="9">
        <v>500</v>
      </c>
      <c r="D585" s="9">
        <v>2</v>
      </c>
      <c r="E585" s="48">
        <f>B585*C585/60+D585</f>
        <v>77</v>
      </c>
      <c r="F585" s="100">
        <v>76</v>
      </c>
      <c r="G585" s="49">
        <f>B$5*(1-AD585*C$5)</f>
        <v>0</v>
      </c>
      <c r="H585" s="50">
        <f>G585+E585</f>
        <v>77</v>
      </c>
      <c r="I585" s="15">
        <f>(H585/D$5)^E$5</f>
        <v>0.13693992990275231</v>
      </c>
      <c r="J585" s="15">
        <f>(G585/D$5)^E$5</f>
        <v>0</v>
      </c>
      <c r="K585" s="29">
        <f>1-EXP(J585-I585)</f>
        <v>0.1279773929583623</v>
      </c>
      <c r="L585" s="51">
        <f>B$6*(1-AE585*C$6)</f>
        <v>0</v>
      </c>
      <c r="M585" s="52">
        <f>L585+E585</f>
        <v>77</v>
      </c>
      <c r="N585" s="17">
        <f>(M585/D$6)^E$6</f>
        <v>0.10605109964467559</v>
      </c>
      <c r="O585" s="17">
        <f>(L585/D$6)^E$6</f>
        <v>0</v>
      </c>
      <c r="P585" s="32">
        <f>1-EXP(O585-N585)</f>
        <v>0.10062131102974814</v>
      </c>
      <c r="Q585" s="53">
        <f>B$7*(1-AF585*C$7)</f>
        <v>0</v>
      </c>
      <c r="R585" s="54">
        <f>Q585+E585</f>
        <v>77</v>
      </c>
      <c r="S585" s="16">
        <f>(R585/D$7)^E$7</f>
        <v>0.2221804751105394</v>
      </c>
      <c r="T585" s="16">
        <f>(Q585/D$7)^E$7</f>
        <v>0</v>
      </c>
      <c r="U585" s="35">
        <f>1-EXP(T585-S585)</f>
        <v>0.19922916791162293</v>
      </c>
      <c r="V585" s="55">
        <f>B$8*(1-AG585*C$8)</f>
        <v>0</v>
      </c>
      <c r="W585" s="56">
        <f>V585+E585</f>
        <v>77</v>
      </c>
      <c r="X585" s="18">
        <f>(W585/D$8)^E$8</f>
        <v>1.1551497592884551E-2</v>
      </c>
      <c r="Y585" s="18">
        <f>(V585/D$8)^E$8</f>
        <v>0</v>
      </c>
      <c r="Z585" s="38">
        <f>1-EXP(Y585-X585)</f>
        <v>1.1485035204098715E-2</v>
      </c>
      <c r="AA585" s="41">
        <f>K585*P585*U585*Z585</f>
        <v>2.9465138194053318E-5</v>
      </c>
      <c r="AB585" s="42">
        <f>1-AA585</f>
        <v>0.99997053486180598</v>
      </c>
      <c r="AC585" s="47">
        <f>(AD585*F$5+AE585*F$6+AF585*F$7+AG585*F$8)+E585</f>
        <v>77</v>
      </c>
      <c r="AD585" s="43">
        <v>0</v>
      </c>
      <c r="AE585" s="1">
        <v>0</v>
      </c>
      <c r="AF585" s="1">
        <v>0</v>
      </c>
      <c r="AG585" s="1">
        <v>0</v>
      </c>
      <c r="AH585" s="74">
        <v>40</v>
      </c>
    </row>
    <row r="586" spans="1:34" x14ac:dyDescent="0.25">
      <c r="A586" s="76">
        <v>3</v>
      </c>
      <c r="B586" s="58">
        <v>5</v>
      </c>
      <c r="C586" s="9">
        <v>500</v>
      </c>
      <c r="D586" s="58">
        <v>4</v>
      </c>
      <c r="E586" s="48">
        <f t="shared" ref="E586:E588" si="61">B586*C586/60+D586</f>
        <v>45.666666666666664</v>
      </c>
      <c r="F586" s="100">
        <v>95</v>
      </c>
      <c r="G586" s="49">
        <f>H585*(1-AD586*C$5)</f>
        <v>77</v>
      </c>
      <c r="H586" s="50">
        <f>G586+E586</f>
        <v>122.66666666666666</v>
      </c>
      <c r="I586" s="15">
        <f>(H586/D$5)^E$5</f>
        <v>0.30647715135734394</v>
      </c>
      <c r="J586" s="15">
        <f>(G586/D$5)^E$5</f>
        <v>0.13693992990275231</v>
      </c>
      <c r="K586" s="29">
        <f>1-EXP(J586-I586)</f>
        <v>0.15594466307173371</v>
      </c>
      <c r="L586" s="51">
        <f>M585*(1-AE586*C$6)</f>
        <v>77</v>
      </c>
      <c r="M586" s="52">
        <f>L586+E586</f>
        <v>122.66666666666666</v>
      </c>
      <c r="N586" s="17">
        <f>(M586/D$6)^E$6</f>
        <v>0.25451802994245737</v>
      </c>
      <c r="O586" s="17">
        <f>(L586/D$6)^E$6</f>
        <v>0.10605109964467559</v>
      </c>
      <c r="P586" s="32">
        <f>1-EXP(O586-N586)</f>
        <v>0.13797148627460298</v>
      </c>
      <c r="Q586" s="53">
        <f>R585*(1-AF586*C$7)</f>
        <v>77</v>
      </c>
      <c r="R586" s="54">
        <f>Q586+E586</f>
        <v>122.66666666666666</v>
      </c>
      <c r="S586" s="16">
        <f>(R586/D$7)^E$7</f>
        <v>0.68887270848465465</v>
      </c>
      <c r="T586" s="16">
        <f>(Q586/D$7)^E$7</f>
        <v>0.2221804751105394</v>
      </c>
      <c r="U586" s="35">
        <f>1-EXP(T586-S586)</f>
        <v>0.3729269471251826</v>
      </c>
      <c r="V586" s="55">
        <f>W585*(1-AG586*C$8)</f>
        <v>77</v>
      </c>
      <c r="W586" s="56">
        <f>V586+E586</f>
        <v>122.66666666666666</v>
      </c>
      <c r="X586" s="18">
        <f>(W586/D$8)^E$8</f>
        <v>3.7522776286050503E-2</v>
      </c>
      <c r="Y586" s="18">
        <f>(V586/D$8)^E$8</f>
        <v>1.1551497592884551E-2</v>
      </c>
      <c r="Z586" s="38">
        <f>1-EXP(Y586-X586)</f>
        <v>2.563692581230792E-2</v>
      </c>
      <c r="AA586" s="41">
        <f>K586*P586*U586*Z586</f>
        <v>2.0570723735404168E-4</v>
      </c>
      <c r="AB586" s="42">
        <f>1-AA586</f>
        <v>0.99979429276264598</v>
      </c>
      <c r="AC586" s="47">
        <f>AF586*F$7+E586+AC585</f>
        <v>122.66666666666666</v>
      </c>
      <c r="AD586" s="43">
        <v>0</v>
      </c>
      <c r="AE586" s="1">
        <v>0</v>
      </c>
      <c r="AF586" s="1">
        <v>0</v>
      </c>
      <c r="AG586" s="1">
        <v>0</v>
      </c>
      <c r="AH586" s="74">
        <v>67</v>
      </c>
    </row>
    <row r="587" spans="1:34" x14ac:dyDescent="0.25">
      <c r="A587" s="24">
        <v>4</v>
      </c>
      <c r="B587" s="9">
        <v>8</v>
      </c>
      <c r="C587" s="58">
        <v>500</v>
      </c>
      <c r="D587" s="58">
        <v>3</v>
      </c>
      <c r="E587" s="48">
        <f t="shared" si="61"/>
        <v>69.666666666666671</v>
      </c>
      <c r="F587" s="100">
        <v>140</v>
      </c>
      <c r="G587" s="68">
        <f>H586*(1-AD587*C$5)</f>
        <v>85.86666666666666</v>
      </c>
      <c r="H587" s="69">
        <f>G587+E587</f>
        <v>155.53333333333333</v>
      </c>
      <c r="I587" s="70">
        <f>(H587/D$5)^E$5</f>
        <v>0.46212106614830967</v>
      </c>
      <c r="J587" s="70">
        <f>(G587/D$5)^E$5</f>
        <v>0.16535514464725598</v>
      </c>
      <c r="K587" s="29">
        <f>1-EXP(J587-I587)</f>
        <v>0.25678203665269694</v>
      </c>
      <c r="L587" s="51">
        <f>M586*(1-AE587*C$6)</f>
        <v>85.86666666666666</v>
      </c>
      <c r="M587" s="52">
        <f>L587+E587</f>
        <v>155.53333333333333</v>
      </c>
      <c r="N587" s="17">
        <f>(M587/D$6)^E$6</f>
        <v>0.39768641404513894</v>
      </c>
      <c r="O587" s="17">
        <f>(L587/D$6)^E$6</f>
        <v>0.13016759122196553</v>
      </c>
      <c r="P587" s="32">
        <f>1-EXP(O587-N587)</f>
        <v>0.23472407416617413</v>
      </c>
      <c r="Q587" s="53">
        <f>R586*(1-AF587*C$7)</f>
        <v>85.86666666666666</v>
      </c>
      <c r="R587" s="54">
        <f>Q587+E587</f>
        <v>155.53333333333333</v>
      </c>
      <c r="S587" s="16">
        <f>(R587/D$7)^E$7</f>
        <v>1.2264913361397396</v>
      </c>
      <c r="T587" s="16">
        <f>(Q587/D$7)^E$7</f>
        <v>0.28955243173642403</v>
      </c>
      <c r="U587" s="35">
        <f>1-EXP(T587-S587)</f>
        <v>0.60817458347464404</v>
      </c>
      <c r="V587" s="55">
        <f>W586*(1-AG587*C$8)</f>
        <v>122.66666666666666</v>
      </c>
      <c r="W587" s="56">
        <f>V587+E587</f>
        <v>192.33333333333331</v>
      </c>
      <c r="X587" s="18">
        <f>(W587/D$8)^E$8</f>
        <v>0.11707786390726449</v>
      </c>
      <c r="Y587" s="18">
        <f>(V587/D$8)^E$8</f>
        <v>3.7522776286050503E-2</v>
      </c>
      <c r="Z587" s="38">
        <f>1-EXP(Y587-X587)</f>
        <v>7.647285634617873E-2</v>
      </c>
      <c r="AA587" s="41">
        <f>K587*P587*U587*Z587</f>
        <v>2.8032243184886157E-3</v>
      </c>
      <c r="AB587" s="42">
        <f>1-AA587</f>
        <v>0.99719677568151144</v>
      </c>
      <c r="AC587" s="47">
        <f>(AF587*F$7)+E587+AC586</f>
        <v>200.33333333333331</v>
      </c>
      <c r="AD587" s="77">
        <v>1</v>
      </c>
      <c r="AE587" s="78">
        <v>1</v>
      </c>
      <c r="AF587" s="78">
        <v>1</v>
      </c>
      <c r="AG587" s="78">
        <v>0</v>
      </c>
      <c r="AH587" s="74">
        <v>85</v>
      </c>
    </row>
    <row r="588" spans="1:34" ht="15.75" thickBot="1" x14ac:dyDescent="0.3">
      <c r="A588" s="57">
        <v>1</v>
      </c>
      <c r="B588" s="58">
        <v>6</v>
      </c>
      <c r="C588" s="58">
        <v>500</v>
      </c>
      <c r="D588" s="9">
        <v>5</v>
      </c>
      <c r="E588" s="48">
        <f t="shared" si="61"/>
        <v>55</v>
      </c>
      <c r="F588" s="100">
        <v>106</v>
      </c>
      <c r="G588" s="68">
        <f>H587*(1-AD588*C$5)</f>
        <v>108.87333333333332</v>
      </c>
      <c r="H588" s="69">
        <f>G588+E588</f>
        <v>163.87333333333333</v>
      </c>
      <c r="I588" s="70">
        <f>(H588/D$5)^E$5</f>
        <v>0.50582522627678017</v>
      </c>
      <c r="J588" s="70">
        <f>(G588/D$5)^E$5</f>
        <v>0.2493304815679428</v>
      </c>
      <c r="K588" s="29">
        <f>1-EXP(J588-I588)</f>
        <v>0.22624093912205778</v>
      </c>
      <c r="L588" s="51">
        <f>M587*(1-AE588*C$6)</f>
        <v>108.87333333333332</v>
      </c>
      <c r="M588" s="52">
        <f>L588+E588</f>
        <v>163.87333333333333</v>
      </c>
      <c r="N588" s="17">
        <f>(M588/D$6)^E$6</f>
        <v>0.43872076836143109</v>
      </c>
      <c r="O588" s="17">
        <f>(L588/D$6)^E$6</f>
        <v>0.20338788018145684</v>
      </c>
      <c r="P588" s="32">
        <f>1-EXP(O588-N588)</f>
        <v>0.20969227826402548</v>
      </c>
      <c r="Q588" s="53">
        <f>R587*(1-AF588*C$7)</f>
        <v>108.87333333333332</v>
      </c>
      <c r="R588" s="54">
        <f>Q588+E588</f>
        <v>163.87333333333333</v>
      </c>
      <c r="S588" s="16">
        <f>(R588/D$7)^E$7</f>
        <v>1.3924787239161251</v>
      </c>
      <c r="T588" s="16">
        <f>(Q588/D$7)^E$7</f>
        <v>0.5155285504982785</v>
      </c>
      <c r="U588" s="35">
        <f>1-EXP(T588-S588)</f>
        <v>0.58395014136633883</v>
      </c>
      <c r="V588" s="55">
        <f>W587*(1-AG588*C$8)</f>
        <v>192.33333333333331</v>
      </c>
      <c r="W588" s="56">
        <f>V588+E588</f>
        <v>247.33333333333331</v>
      </c>
      <c r="X588" s="18">
        <f>(W588/D$8)^E$8</f>
        <v>0.221218713919872</v>
      </c>
      <c r="Y588" s="18">
        <f>(V588/D$8)^E$8</f>
        <v>0.11707786390726449</v>
      </c>
      <c r="Z588" s="38">
        <f>1-EXP(Y588-X588)</f>
        <v>9.8901631234137977E-2</v>
      </c>
      <c r="AA588" s="41">
        <f>K588*P588*U588*Z588</f>
        <v>2.7398882866781229E-3</v>
      </c>
      <c r="AB588" s="42">
        <f>1-AA588</f>
        <v>0.99726011171332185</v>
      </c>
      <c r="AC588" s="47">
        <f>(AF588*F$7)+E588+AC587</f>
        <v>263.33333333333331</v>
      </c>
      <c r="AD588" s="80">
        <v>1</v>
      </c>
      <c r="AE588" s="45">
        <v>1</v>
      </c>
      <c r="AF588" s="81">
        <v>1</v>
      </c>
      <c r="AG588" s="45">
        <v>0</v>
      </c>
      <c r="AH588" s="94">
        <v>110</v>
      </c>
    </row>
    <row r="589" spans="1:34" ht="18.75" x14ac:dyDescent="0.3">
      <c r="A589" s="132" t="s">
        <v>53</v>
      </c>
      <c r="B589" s="132"/>
      <c r="C589" s="132"/>
      <c r="D589" s="132"/>
      <c r="E589" s="132"/>
      <c r="F589" s="132"/>
      <c r="G589" s="132"/>
      <c r="H589" s="132"/>
      <c r="I589" s="132"/>
      <c r="J589" s="132"/>
      <c r="AG589" s="46"/>
    </row>
    <row r="590" spans="1:34" ht="15.75" x14ac:dyDescent="0.25">
      <c r="A590" s="19" t="s">
        <v>48</v>
      </c>
      <c r="B590" s="60" t="s">
        <v>49</v>
      </c>
      <c r="C590" s="61" t="s">
        <v>50</v>
      </c>
      <c r="D590" s="19" t="s">
        <v>54</v>
      </c>
      <c r="E590" s="60" t="s">
        <v>57</v>
      </c>
      <c r="F590" s="61" t="s">
        <v>50</v>
      </c>
      <c r="G590" s="19" t="s">
        <v>58</v>
      </c>
      <c r="H590" s="60" t="s">
        <v>61</v>
      </c>
      <c r="I590" s="61" t="s">
        <v>50</v>
      </c>
      <c r="J590" s="19" t="s">
        <v>82</v>
      </c>
      <c r="K590" s="83" t="s">
        <v>84</v>
      </c>
      <c r="L590" s="61" t="s">
        <v>50</v>
      </c>
      <c r="M590" s="61" t="s">
        <v>85</v>
      </c>
      <c r="O590" s="174" t="s">
        <v>64</v>
      </c>
      <c r="P590" s="174"/>
      <c r="Q590" s="175" t="s">
        <v>109</v>
      </c>
      <c r="R590" s="175"/>
    </row>
    <row r="591" spans="1:34" ht="24.75" x14ac:dyDescent="0.25">
      <c r="A591" s="61" t="s">
        <v>51</v>
      </c>
      <c r="B591" s="1">
        <f>AA585</f>
        <v>2.9465138194053318E-5</v>
      </c>
      <c r="C591" s="59">
        <f>MAX(AC585+1*L578-F585,0)</f>
        <v>13</v>
      </c>
      <c r="D591" s="62" t="s">
        <v>55</v>
      </c>
      <c r="E591" s="1">
        <f>AA585*AA586</f>
        <v>6.0611921761537649E-9</v>
      </c>
      <c r="F591" s="1">
        <f>MAX(AC586+2*L578-F586,0)</f>
        <v>51.666666666666657</v>
      </c>
      <c r="G591" s="62" t="s">
        <v>59</v>
      </c>
      <c r="H591" s="1">
        <f>AA585*AA586*AA587</f>
        <v>1.6990881307227167E-11</v>
      </c>
      <c r="I591" s="1">
        <f>AC587+3*L578-F587</f>
        <v>96.333333333333314</v>
      </c>
      <c r="J591" s="62" t="s">
        <v>83</v>
      </c>
      <c r="K591" s="1">
        <f>AA585*AA586*AA587*AA588</f>
        <v>4.6553116674009985E-14</v>
      </c>
      <c r="L591" s="1">
        <f>AC588+4*L578-F588</f>
        <v>205.33333333333331</v>
      </c>
      <c r="M591" s="1">
        <f>B591*C591*AH585+E591*F591*AH586+H591*I591*AH587+K591*L591*AH588</f>
        <v>1.5342993866303676E-2</v>
      </c>
      <c r="O591" s="1" t="s">
        <v>27</v>
      </c>
      <c r="P591" s="1">
        <f>2*H576</f>
        <v>3640</v>
      </c>
      <c r="Q591" s="1">
        <f>(K585*(1-P585)*(1-U585)*(1-Z585))+(P585*(1-K585)*(1-U585)*(1-Z585))+(U585*(1-K585)*(1-P585)*(1-Z585))+(Z585*(1-K585)*(1-P585)*(1-U585))</f>
        <v>0.32223571239848364</v>
      </c>
      <c r="R591" s="1">
        <f>Q591*(L$7*(J$5*K$5+L$5)+I$5)</f>
        <v>11357.197683484555</v>
      </c>
    </row>
    <row r="592" spans="1:34" ht="24.75" x14ac:dyDescent="0.25">
      <c r="A592" s="62" t="s">
        <v>52</v>
      </c>
      <c r="B592" s="1">
        <f>AB585</f>
        <v>0.99997053486180598</v>
      </c>
      <c r="C592" s="59">
        <f>MAX(AC585-F585,0)</f>
        <v>1</v>
      </c>
      <c r="D592" s="62" t="s">
        <v>56</v>
      </c>
      <c r="E592" s="1">
        <f>AA585*AB586+AA586*AB585</f>
        <v>2.351602531637427E-4</v>
      </c>
      <c r="F592" s="1">
        <f>MAX(AC586+1*L578-F586,0)</f>
        <v>39.666666666666657</v>
      </c>
      <c r="G592" s="62" t="s">
        <v>60</v>
      </c>
      <c r="H592" s="1">
        <f>AA585*AA586*AB587+AA586*AA587*AB585+AA585*AA587*AB586</f>
        <v>6.6525114170538947E-7</v>
      </c>
      <c r="I592" s="1">
        <f>AC587+2*L578-F587</f>
        <v>84.333333333333314</v>
      </c>
      <c r="J592" s="62" t="s">
        <v>59</v>
      </c>
      <c r="K592">
        <f>AB585*AA586*AA587*AA588+AB586*AA585*AA587*AA588*+AB587*AA585*AA586*AA588+AB588*AA585*AA586*AA587</f>
        <v>1.596836629170813E-9</v>
      </c>
      <c r="L592" s="1">
        <f>AC588+3*L578-F588</f>
        <v>193.33333333333331</v>
      </c>
      <c r="M592" s="1">
        <f>B592*C592*AH585+E592*F592*AH586+H592*I592*AH587+K592*L592*AH588</f>
        <v>40.628601661956843</v>
      </c>
      <c r="O592" s="1" t="s">
        <v>28</v>
      </c>
      <c r="P592" s="1">
        <f>2*H577</f>
        <v>5440</v>
      </c>
      <c r="Q592" s="1">
        <f t="shared" ref="Q592:Q594" si="62">(K586*(1-P586)*(1-U586)*(1-Z586))+(P586*(1-K586)*(1-U586)*(1-Z586))+(U586*(1-K586)*(1-P586)*(1-Z586))+(Z586*(1-K586)*(1-P586)*(1-U586))</f>
        <v>0.4293717752593712</v>
      </c>
      <c r="R592" s="1">
        <f t="shared" ref="R592:R594" si="63">Q592*(L$7*(J$5*K$5+L$5)+I$5)</f>
        <v>15133.208219016538</v>
      </c>
    </row>
    <row r="593" spans="1:20" ht="24.75" x14ac:dyDescent="0.25">
      <c r="A593" s="1"/>
      <c r="B593" s="1"/>
      <c r="C593" s="1"/>
      <c r="D593" s="62" t="s">
        <v>52</v>
      </c>
      <c r="E593" s="1">
        <f>AB585*AB586</f>
        <v>0.99976483368564417</v>
      </c>
      <c r="F593" s="59">
        <f>MAX(AC586-F586,0)</f>
        <v>27.666666666666657</v>
      </c>
      <c r="G593" s="62" t="s">
        <v>56</v>
      </c>
      <c r="H593" s="1">
        <f>AA585*AB586*AB587+AA586*AB585*AB587*+AA587*AB585*AB586</f>
        <v>2.9951371503634105E-5</v>
      </c>
      <c r="I593" s="1">
        <f>AC587+1*L578-F587</f>
        <v>72.333333333333314</v>
      </c>
      <c r="J593" s="62" t="s">
        <v>60</v>
      </c>
      <c r="K593" s="1">
        <f>AA585*AA586*AB587*AB588 + AA585*AA587*AB586*AB588 + AA585*AA588*AB586*AB587 + AA586*AA587*AB585*AB588 + AA586*AA588*AB585*AB587 + AA587*AA588*AB585*AB586</f>
        <v>8.9846503728861825E-6</v>
      </c>
      <c r="L593" s="1">
        <f>AC588+2*L578-F588</f>
        <v>181.33333333333331</v>
      </c>
      <c r="M593" s="1">
        <f>B593*C593*AH585+E593*F593*AH586+H593*I593*AH587+K593*L593*AH588</f>
        <v>1853.5941115505213</v>
      </c>
      <c r="O593" s="1" t="s">
        <v>29</v>
      </c>
      <c r="P593" s="1">
        <f>2*(F578*(J576*K576+L576)+H578)</f>
        <v>28200</v>
      </c>
      <c r="Q593" s="1">
        <f t="shared" si="62"/>
        <v>0.47073556715921316</v>
      </c>
      <c r="R593" s="1">
        <f t="shared" si="63"/>
        <v>16591.075064526467</v>
      </c>
    </row>
    <row r="594" spans="1:20" ht="24.75" x14ac:dyDescent="0.25">
      <c r="A594" s="1"/>
      <c r="B594" s="1"/>
      <c r="C594" s="1"/>
      <c r="D594" s="1"/>
      <c r="E594" s="1"/>
      <c r="F594" s="1"/>
      <c r="G594" s="62" t="s">
        <v>52</v>
      </c>
      <c r="H594" s="1">
        <f>AB585*AB586*AB587</f>
        <v>0.99696226859108694</v>
      </c>
      <c r="I594" s="63">
        <f>AC587-F587</f>
        <v>60.333333333333314</v>
      </c>
      <c r="J594" s="62" t="s">
        <v>56</v>
      </c>
      <c r="K594" s="1">
        <f>AA585*AB586*AB587*AB588+AA586*AB585*AB587*AB588+AA587*AB585*AB586*AB588+AA588*AB585*AB586*AB587</f>
        <v>5.7603101608084319E-3</v>
      </c>
      <c r="L594" s="1">
        <f>AC588+1*L578-F588</f>
        <v>169.33333333333331</v>
      </c>
      <c r="M594" s="1">
        <f>B594*C594*AH585+E594*F594*AH586+H594*I594*AH587+K594*L594*AH588</f>
        <v>5220.0502113532821</v>
      </c>
      <c r="O594" s="1" t="s">
        <v>30</v>
      </c>
      <c r="P594" s="1">
        <v>0</v>
      </c>
      <c r="Q594" s="1">
        <f t="shared" si="62"/>
        <v>0.47479633122704734</v>
      </c>
      <c r="R594" s="1">
        <f t="shared" si="63"/>
        <v>16734.196694097285</v>
      </c>
    </row>
    <row r="595" spans="1:20" ht="30" x14ac:dyDescent="0.25">
      <c r="I595" s="84"/>
      <c r="J595" s="62" t="s">
        <v>52</v>
      </c>
      <c r="K595" s="85">
        <f>AB585*AB586*AB587*AB588</f>
        <v>0.99423070334911412</v>
      </c>
      <c r="L595" s="1">
        <f>AC588+0*L578-F588</f>
        <v>157.33333333333331</v>
      </c>
      <c r="M595" s="1">
        <f>B595*C595*AH585+E595*F595*AH586+H595*I595*AH587+K595*L595*AH588</f>
        <v>17206.819372628666</v>
      </c>
      <c r="O595" s="64" t="s">
        <v>65</v>
      </c>
      <c r="P595" s="65">
        <f>SUM(P591:P594)</f>
        <v>37280</v>
      </c>
      <c r="Q595" s="96" t="s">
        <v>108</v>
      </c>
      <c r="R595" s="97">
        <f>SUM(R591:R594)</f>
        <v>59815.677661124842</v>
      </c>
    </row>
    <row r="596" spans="1:20" x14ac:dyDescent="0.25">
      <c r="L596" s="176" t="s">
        <v>63</v>
      </c>
      <c r="M596" s="177">
        <f>SUM(M591:M595)</f>
        <v>24321.107640188293</v>
      </c>
    </row>
    <row r="597" spans="1:20" x14ac:dyDescent="0.25">
      <c r="L597" s="176"/>
      <c r="M597" s="177"/>
    </row>
    <row r="598" spans="1:20" x14ac:dyDescent="0.25">
      <c r="A598" s="178" t="s">
        <v>90</v>
      </c>
      <c r="B598" s="178"/>
      <c r="C598" s="178"/>
      <c r="D598" s="178"/>
      <c r="E598" s="178"/>
      <c r="F598" s="178"/>
      <c r="G598" s="178"/>
      <c r="H598" s="178"/>
      <c r="I598" s="178"/>
      <c r="J598" s="178"/>
      <c r="K598" s="178"/>
      <c r="L598" s="178"/>
      <c r="M598" s="178"/>
      <c r="N598" s="178"/>
    </row>
    <row r="599" spans="1:20" ht="15.75" x14ac:dyDescent="0.25">
      <c r="A599" s="87" t="s">
        <v>75</v>
      </c>
      <c r="B599" s="62" t="s">
        <v>49</v>
      </c>
      <c r="C599" s="90" t="s">
        <v>87</v>
      </c>
      <c r="D599" s="62" t="s">
        <v>88</v>
      </c>
      <c r="E599" s="87" t="s">
        <v>76</v>
      </c>
      <c r="F599" s="62" t="s">
        <v>57</v>
      </c>
      <c r="G599" s="90" t="s">
        <v>102</v>
      </c>
      <c r="H599" s="62" t="s">
        <v>88</v>
      </c>
      <c r="I599" s="87" t="s">
        <v>77</v>
      </c>
      <c r="J599" s="62" t="s">
        <v>61</v>
      </c>
      <c r="K599" s="90" t="s">
        <v>78</v>
      </c>
      <c r="L599" s="62" t="s">
        <v>88</v>
      </c>
      <c r="M599" s="87" t="s">
        <v>86</v>
      </c>
      <c r="N599" s="62" t="s">
        <v>84</v>
      </c>
      <c r="O599" s="90" t="s">
        <v>103</v>
      </c>
      <c r="P599" s="62" t="s">
        <v>88</v>
      </c>
    </row>
    <row r="600" spans="1:20" ht="24.75" x14ac:dyDescent="0.25">
      <c r="A600" s="62" t="s">
        <v>51</v>
      </c>
      <c r="B600" s="86">
        <v>2.9465138194053318E-5</v>
      </c>
      <c r="C600" s="86">
        <f>AC585+1*L578</f>
        <v>89</v>
      </c>
      <c r="D600" s="86">
        <f>MAX(B600*1.5*((C600-F585)*500/2),0)</f>
        <v>0.14364254869600993</v>
      </c>
      <c r="E600" s="62" t="s">
        <v>55</v>
      </c>
      <c r="F600" s="86">
        <v>6.0611921761537649E-9</v>
      </c>
      <c r="G600" s="86">
        <f>AC586+2*L578</f>
        <v>146.66666666666666</v>
      </c>
      <c r="H600" s="86">
        <f>F600*1.5*((G600-F586)*500/2+(G600-F587)*500+(G600-F588)*500)</f>
        <v>3.3260792066643774E-4</v>
      </c>
      <c r="I600" s="62" t="s">
        <v>59</v>
      </c>
      <c r="J600" s="86">
        <v>1.6990881307227167E-11</v>
      </c>
      <c r="K600" s="86">
        <f>AC587+3*L578</f>
        <v>236.33333333333331</v>
      </c>
      <c r="L600" s="86">
        <f>J600*1.5*((K600-G600)*500/2+(K600-G600)*500)</f>
        <v>1.7139551518665404E-6</v>
      </c>
      <c r="M600" s="62" t="s">
        <v>83</v>
      </c>
      <c r="N600" s="86">
        <v>4.6553116674009985E-14</v>
      </c>
      <c r="O600" s="86">
        <f>AC588+4*L578</f>
        <v>311.33333333333331</v>
      </c>
      <c r="P600" s="86">
        <f>N600*1.5*((O600-K600)*500/2)</f>
        <v>1.3093064064565308E-9</v>
      </c>
    </row>
    <row r="601" spans="1:20" ht="24.75" x14ac:dyDescent="0.25">
      <c r="A601" s="62" t="s">
        <v>52</v>
      </c>
      <c r="B601" s="86">
        <v>0.99997053486180598</v>
      </c>
      <c r="C601" s="88">
        <f>AC585</f>
        <v>77</v>
      </c>
      <c r="D601" s="86">
        <f>MAX(B601*1.5*((C601-F585)*500/2),0)</f>
        <v>374.98895057317725</v>
      </c>
      <c r="E601" s="62" t="s">
        <v>56</v>
      </c>
      <c r="F601" s="86">
        <v>2.351602531637427E-4</v>
      </c>
      <c r="G601" s="86">
        <f>AC586+1*L578</f>
        <v>134.66666666666666</v>
      </c>
      <c r="H601" s="86">
        <f>F601*1.5*((G601-F586)*500/2+(G601-F588)*500)</f>
        <v>8.5539542088311382</v>
      </c>
      <c r="I601" s="62" t="s">
        <v>60</v>
      </c>
      <c r="J601" s="86">
        <v>6.6525114170538947E-7</v>
      </c>
      <c r="K601" s="86">
        <f>AC587+2*L578</f>
        <v>224.33333333333331</v>
      </c>
      <c r="L601" s="86">
        <f>J601*1.5*((K601-F587)*500/2+(K601-G601)*500)</f>
        <v>6.5776706636120369E-2</v>
      </c>
      <c r="M601" s="62" t="s">
        <v>59</v>
      </c>
      <c r="N601" s="86">
        <v>1.596836629170813E-9</v>
      </c>
      <c r="O601" s="86">
        <f>AC588+3*L578</f>
        <v>299.33333333333331</v>
      </c>
      <c r="P601" s="86">
        <f>N601*1.5*((O601-K601)*500/2)</f>
        <v>4.4911030195429115E-5</v>
      </c>
    </row>
    <row r="602" spans="1:20" x14ac:dyDescent="0.25">
      <c r="A602" s="86"/>
      <c r="B602" s="86"/>
      <c r="C602" s="89" t="s">
        <v>89</v>
      </c>
      <c r="D602" s="89">
        <f>SUM(D600:D601)</f>
        <v>375.13259312187324</v>
      </c>
      <c r="E602" s="62" t="s">
        <v>52</v>
      </c>
      <c r="F602" s="86">
        <v>0.99976483368564417</v>
      </c>
      <c r="G602" s="86">
        <f>AC586+0*L578</f>
        <v>122.66666666666666</v>
      </c>
      <c r="H602" s="86">
        <f>F602*1.5*((G602-F586)*500/2+(G602-F588)*500)</f>
        <v>22869.620570559102</v>
      </c>
      <c r="I602" s="62" t="s">
        <v>56</v>
      </c>
      <c r="J602" s="86">
        <v>2.9951371503634105E-5</v>
      </c>
      <c r="K602" s="86">
        <f>AC587+1*L578</f>
        <v>212.33333333333331</v>
      </c>
      <c r="L602" s="86">
        <f>J602*1.5*((K602-F587)*500/2+(K602-G602)*500)</f>
        <v>2.8266606856554684</v>
      </c>
      <c r="M602" s="62" t="s">
        <v>60</v>
      </c>
      <c r="N602" s="86">
        <v>8.9846503728861825E-6</v>
      </c>
      <c r="O602" s="86">
        <f>AC588+2*L578</f>
        <v>287.33333333333331</v>
      </c>
      <c r="P602" s="86">
        <f>N602*1.5*((O602-K602)*500/2)</f>
        <v>0.25269329173742389</v>
      </c>
    </row>
    <row r="603" spans="1:20" x14ac:dyDescent="0.25">
      <c r="A603" s="86"/>
      <c r="B603" s="86"/>
      <c r="C603" s="86"/>
      <c r="D603" s="86"/>
      <c r="E603" s="86"/>
      <c r="F603" s="86"/>
      <c r="G603" s="89" t="s">
        <v>79</v>
      </c>
      <c r="H603" s="89">
        <f>SUM(H600:H602)</f>
        <v>22878.174857375852</v>
      </c>
      <c r="I603" s="62" t="s">
        <v>52</v>
      </c>
      <c r="J603" s="86">
        <v>0.99696226859108694</v>
      </c>
      <c r="K603" s="86">
        <f>AC587+0*L578</f>
        <v>200.33333333333331</v>
      </c>
      <c r="L603" s="86">
        <f>J603*1.5*((K603-F587)*500/2+(K603-G602)*500)</f>
        <v>80629.323472304139</v>
      </c>
      <c r="M603" s="62" t="s">
        <v>56</v>
      </c>
      <c r="N603" s="86">
        <v>5.7603101608084319E-3</v>
      </c>
      <c r="O603" s="86">
        <f>AC588+1*L578</f>
        <v>275.33333333333331</v>
      </c>
      <c r="P603" s="86">
        <f>N603*1.5*((O603-K603)*500/2)</f>
        <v>162.00872327273714</v>
      </c>
    </row>
    <row r="604" spans="1:20" x14ac:dyDescent="0.25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9" t="s">
        <v>79</v>
      </c>
      <c r="L604" s="89">
        <f>SUM(L600:L603)</f>
        <v>80632.215911410385</v>
      </c>
      <c r="M604" s="62" t="s">
        <v>52</v>
      </c>
      <c r="N604" s="86">
        <v>0.99423070334911412</v>
      </c>
      <c r="O604" s="86">
        <f>AC588+0*L578</f>
        <v>263.33333333333331</v>
      </c>
      <c r="P604" s="86">
        <f>N604*1.5*((O604-K603)*500/2)</f>
        <v>23488.700366622823</v>
      </c>
      <c r="Q604" s="179" t="s">
        <v>80</v>
      </c>
      <c r="R604" s="179"/>
      <c r="S604" s="180">
        <f>D602+H603+L604+P605</f>
        <v>127536.48519000775</v>
      </c>
      <c r="T604" s="180"/>
    </row>
    <row r="605" spans="1:20" x14ac:dyDescent="0.25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9" t="s">
        <v>79</v>
      </c>
      <c r="P605" s="89">
        <f>SUM(P600:P604)</f>
        <v>23650.961828099636</v>
      </c>
      <c r="Q605" s="179"/>
      <c r="R605" s="179"/>
      <c r="S605" s="180"/>
      <c r="T605" s="180"/>
    </row>
    <row r="606" spans="1:20" x14ac:dyDescent="0.25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</row>
    <row r="607" spans="1:20" x14ac:dyDescent="0.25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</row>
    <row r="608" spans="1:20" x14ac:dyDescent="0.25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</row>
    <row r="609" spans="1:34" ht="24.75" thickBot="1" x14ac:dyDescent="0.3">
      <c r="O609" s="131" t="s">
        <v>81</v>
      </c>
      <c r="P609" s="131"/>
      <c r="Q609" s="131">
        <f>(R595+P595+M596+S604)/AC588</f>
        <v>945.39216642273755</v>
      </c>
      <c r="R609" s="131"/>
    </row>
    <row r="610" spans="1:34" x14ac:dyDescent="0.25">
      <c r="A610" s="181" t="s">
        <v>121</v>
      </c>
      <c r="B610" s="182"/>
    </row>
    <row r="611" spans="1:34" ht="15.75" thickBot="1" x14ac:dyDescent="0.3">
      <c r="A611" s="183"/>
      <c r="B611" s="184"/>
    </row>
    <row r="612" spans="1:34" ht="21" x14ac:dyDescent="0.35">
      <c r="A612" s="185" t="s">
        <v>14</v>
      </c>
      <c r="B612" s="185"/>
      <c r="C612" s="165"/>
      <c r="D612" s="165"/>
      <c r="E612" s="165"/>
      <c r="F612" s="165"/>
      <c r="G612" s="165"/>
      <c r="H612" s="165"/>
      <c r="I612" s="165"/>
      <c r="J612" s="165"/>
      <c r="K612" s="165"/>
      <c r="L612" s="165"/>
      <c r="M612" s="165"/>
      <c r="O612" s="166" t="s">
        <v>72</v>
      </c>
      <c r="P612" s="166"/>
      <c r="Q612" s="166"/>
      <c r="R612" s="166"/>
      <c r="S612" s="166"/>
      <c r="T612" s="166"/>
      <c r="U612" s="166"/>
      <c r="V612" s="166"/>
    </row>
    <row r="613" spans="1:34" ht="36" x14ac:dyDescent="0.25">
      <c r="A613" s="4" t="s">
        <v>15</v>
      </c>
      <c r="B613" s="4" t="s">
        <v>16</v>
      </c>
      <c r="C613" s="4" t="s">
        <v>31</v>
      </c>
      <c r="D613" s="6" t="s">
        <v>17</v>
      </c>
      <c r="E613" s="6" t="s">
        <v>18</v>
      </c>
      <c r="F613" s="6" t="s">
        <v>19</v>
      </c>
      <c r="G613" s="6" t="s">
        <v>20</v>
      </c>
      <c r="H613" s="6" t="s">
        <v>21</v>
      </c>
      <c r="I613" s="6" t="s">
        <v>22</v>
      </c>
      <c r="J613" s="6" t="s">
        <v>23</v>
      </c>
      <c r="K613" s="6" t="s">
        <v>24</v>
      </c>
      <c r="L613" s="6" t="s">
        <v>25</v>
      </c>
      <c r="M613" s="6" t="s">
        <v>26</v>
      </c>
      <c r="N613" s="8"/>
      <c r="O613" s="167" t="s">
        <v>32</v>
      </c>
      <c r="P613" s="167" t="s">
        <v>35</v>
      </c>
      <c r="Q613" s="167" t="s">
        <v>66</v>
      </c>
      <c r="R613" s="99" t="s">
        <v>67</v>
      </c>
      <c r="S613" s="99" t="s">
        <v>68</v>
      </c>
      <c r="T613" s="167" t="s">
        <v>69</v>
      </c>
      <c r="U613" s="71" t="s">
        <v>33</v>
      </c>
      <c r="V613" s="99" t="s">
        <v>70</v>
      </c>
    </row>
    <row r="614" spans="1:34" x14ac:dyDescent="0.25">
      <c r="A614" s="3" t="s">
        <v>27</v>
      </c>
      <c r="B614" s="3">
        <v>0</v>
      </c>
      <c r="C614" s="3">
        <v>0.3</v>
      </c>
      <c r="D614" s="3">
        <v>243</v>
      </c>
      <c r="E614" s="3">
        <v>1.73</v>
      </c>
      <c r="F614" s="3">
        <v>5</v>
      </c>
      <c r="G614" s="169">
        <v>12</v>
      </c>
      <c r="H614" s="3">
        <v>1820</v>
      </c>
      <c r="I614" s="169">
        <v>19645</v>
      </c>
      <c r="J614" s="3">
        <v>20</v>
      </c>
      <c r="K614" s="3">
        <v>40</v>
      </c>
      <c r="L614" s="3">
        <v>500</v>
      </c>
      <c r="M614" s="3">
        <v>1000</v>
      </c>
      <c r="O614" s="168"/>
      <c r="P614" s="168"/>
      <c r="Q614" s="168"/>
      <c r="R614" s="72" t="s">
        <v>71</v>
      </c>
      <c r="S614" s="72" t="s">
        <v>71</v>
      </c>
      <c r="T614" s="168"/>
      <c r="U614" s="73">
        <v>500</v>
      </c>
      <c r="V614" s="3">
        <v>1.5</v>
      </c>
    </row>
    <row r="615" spans="1:34" x14ac:dyDescent="0.25">
      <c r="A615" s="3" t="s">
        <v>28</v>
      </c>
      <c r="B615" s="3">
        <v>0</v>
      </c>
      <c r="C615" s="3">
        <v>0.3</v>
      </c>
      <c r="D615" s="3">
        <v>254</v>
      </c>
      <c r="E615" s="3">
        <v>1.88</v>
      </c>
      <c r="F615" s="3">
        <v>3</v>
      </c>
      <c r="G615" s="170"/>
      <c r="H615" s="3">
        <v>2720</v>
      </c>
      <c r="I615" s="170"/>
      <c r="J615" s="5"/>
      <c r="K615" s="5"/>
      <c r="L615" s="5"/>
      <c r="M615" s="5"/>
      <c r="O615" s="74">
        <v>1</v>
      </c>
      <c r="P615" s="74">
        <v>106</v>
      </c>
      <c r="Q615" s="74">
        <v>110</v>
      </c>
      <c r="R615" s="74">
        <v>6</v>
      </c>
      <c r="S615" s="74">
        <v>5</v>
      </c>
      <c r="T615" s="74">
        <f>R615*$U$5/60+S615</f>
        <v>55</v>
      </c>
      <c r="U615" s="75"/>
    </row>
    <row r="616" spans="1:34" x14ac:dyDescent="0.25">
      <c r="A616" s="3" t="s">
        <v>29</v>
      </c>
      <c r="B616" s="3">
        <v>0</v>
      </c>
      <c r="C616" s="3">
        <v>0.3</v>
      </c>
      <c r="D616" s="3">
        <v>143</v>
      </c>
      <c r="E616" s="3">
        <v>2.4300000000000002</v>
      </c>
      <c r="F616" s="3">
        <v>8</v>
      </c>
      <c r="G616" s="170"/>
      <c r="H616" s="3">
        <v>3700</v>
      </c>
      <c r="I616" s="170"/>
      <c r="J616" s="5"/>
      <c r="K616" s="140" t="s">
        <v>73</v>
      </c>
      <c r="L616" s="141">
        <v>12</v>
      </c>
      <c r="M616" s="140" t="s">
        <v>74</v>
      </c>
      <c r="N616" s="141">
        <v>19645</v>
      </c>
      <c r="O616" s="74">
        <v>2</v>
      </c>
      <c r="P616" s="74">
        <v>76</v>
      </c>
      <c r="Q616" s="74">
        <v>40</v>
      </c>
      <c r="R616" s="74">
        <v>9</v>
      </c>
      <c r="S616" s="74">
        <v>2</v>
      </c>
      <c r="T616" s="74">
        <f t="shared" ref="T616:T618" si="64">R616*$U$5/60+S616</f>
        <v>77</v>
      </c>
      <c r="U616" s="75"/>
    </row>
    <row r="617" spans="1:34" x14ac:dyDescent="0.25">
      <c r="A617" s="3" t="s">
        <v>30</v>
      </c>
      <c r="B617" s="3">
        <v>0</v>
      </c>
      <c r="C617" s="3">
        <v>0.3</v>
      </c>
      <c r="D617" s="3">
        <v>449</v>
      </c>
      <c r="E617" s="3">
        <v>2.5299999999999998</v>
      </c>
      <c r="F617" s="3">
        <v>4</v>
      </c>
      <c r="G617" s="171"/>
      <c r="H617" s="3">
        <v>4320</v>
      </c>
      <c r="I617" s="171"/>
      <c r="J617" s="5"/>
      <c r="K617" s="140"/>
      <c r="L617" s="141"/>
      <c r="M617" s="140"/>
      <c r="N617" s="141"/>
      <c r="O617" s="74">
        <v>3</v>
      </c>
      <c r="P617" s="74">
        <v>95</v>
      </c>
      <c r="Q617" s="74">
        <v>67</v>
      </c>
      <c r="R617" s="74">
        <v>5</v>
      </c>
      <c r="S617" s="74">
        <v>4</v>
      </c>
      <c r="T617" s="74">
        <f t="shared" si="64"/>
        <v>45.666666666666664</v>
      </c>
      <c r="U617" s="75"/>
    </row>
    <row r="618" spans="1:34" ht="15.75" thickBo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O618" s="74">
        <v>4</v>
      </c>
      <c r="P618" s="74">
        <v>140</v>
      </c>
      <c r="Q618" s="94">
        <v>85</v>
      </c>
      <c r="R618" s="94">
        <v>8</v>
      </c>
      <c r="S618" s="94">
        <v>3</v>
      </c>
      <c r="T618" s="74">
        <f t="shared" si="64"/>
        <v>69.666666666666671</v>
      </c>
    </row>
    <row r="619" spans="1:34" ht="15" customHeight="1" x14ac:dyDescent="0.25">
      <c r="A619" s="172" t="s">
        <v>104</v>
      </c>
      <c r="B619" s="144" t="s">
        <v>105</v>
      </c>
      <c r="C619" s="144"/>
      <c r="D619" s="144"/>
      <c r="E619" s="144"/>
      <c r="F619" s="20" t="s">
        <v>27</v>
      </c>
      <c r="G619" s="20" t="s">
        <v>28</v>
      </c>
      <c r="H619" s="20" t="s">
        <v>29</v>
      </c>
      <c r="I619" s="20" t="s">
        <v>30</v>
      </c>
    </row>
    <row r="620" spans="1:34" ht="15.75" customHeight="1" thickBot="1" x14ac:dyDescent="0.3">
      <c r="A620" s="173"/>
      <c r="B620" s="145"/>
      <c r="C620" s="145"/>
      <c r="D620" s="145"/>
      <c r="E620" s="145"/>
      <c r="F620" s="20">
        <v>84</v>
      </c>
      <c r="G620" s="26">
        <v>84</v>
      </c>
      <c r="H620" s="26">
        <v>84</v>
      </c>
      <c r="I620" s="26">
        <v>252</v>
      </c>
    </row>
    <row r="621" spans="1:34" ht="15.75" customHeight="1" thickBot="1" x14ac:dyDescent="0.3">
      <c r="A621" s="173"/>
      <c r="B621" s="145"/>
      <c r="C621" s="145"/>
      <c r="D621" s="145"/>
      <c r="E621" s="145"/>
      <c r="F621" s="7"/>
      <c r="G621" s="146" t="s">
        <v>27</v>
      </c>
      <c r="H621" s="147"/>
      <c r="I621" s="147"/>
      <c r="J621" s="147"/>
      <c r="K621" s="148"/>
      <c r="L621" s="149" t="s">
        <v>28</v>
      </c>
      <c r="M621" s="150"/>
      <c r="N621" s="150"/>
      <c r="O621" s="150"/>
      <c r="P621" s="151"/>
      <c r="Q621" s="152" t="s">
        <v>29</v>
      </c>
      <c r="R621" s="153"/>
      <c r="S621" s="153"/>
      <c r="T621" s="153"/>
      <c r="U621" s="154"/>
      <c r="V621" s="155" t="s">
        <v>30</v>
      </c>
      <c r="W621" s="156"/>
      <c r="X621" s="156"/>
      <c r="Y621" s="156"/>
      <c r="Z621" s="157"/>
      <c r="AA621" s="158" t="s">
        <v>42</v>
      </c>
      <c r="AB621" s="159"/>
      <c r="AC621" s="160" t="s">
        <v>44</v>
      </c>
      <c r="AD621" s="162" t="s">
        <v>47</v>
      </c>
      <c r="AE621" s="163"/>
      <c r="AF621" s="163"/>
      <c r="AG621" s="164"/>
      <c r="AH621" s="138" t="s">
        <v>62</v>
      </c>
    </row>
    <row r="622" spans="1:34" ht="36.75" x14ac:dyDescent="0.25">
      <c r="A622" s="21" t="s">
        <v>32</v>
      </c>
      <c r="B622" s="22" t="s">
        <v>37</v>
      </c>
      <c r="C622" s="23" t="s">
        <v>33</v>
      </c>
      <c r="D622" s="22" t="s">
        <v>38</v>
      </c>
      <c r="E622" s="22" t="s">
        <v>34</v>
      </c>
      <c r="F622" s="25" t="s">
        <v>35</v>
      </c>
      <c r="G622" s="27" t="s">
        <v>39</v>
      </c>
      <c r="H622" s="10" t="s">
        <v>40</v>
      </c>
      <c r="I622" s="10" t="s">
        <v>45</v>
      </c>
      <c r="J622" s="10" t="s">
        <v>46</v>
      </c>
      <c r="K622" s="28" t="s">
        <v>41</v>
      </c>
      <c r="L622" s="30" t="s">
        <v>39</v>
      </c>
      <c r="M622" s="13" t="s">
        <v>40</v>
      </c>
      <c r="N622" s="13" t="s">
        <v>45</v>
      </c>
      <c r="O622" s="13" t="s">
        <v>46</v>
      </c>
      <c r="P622" s="31" t="s">
        <v>41</v>
      </c>
      <c r="Q622" s="33" t="s">
        <v>39</v>
      </c>
      <c r="R622" s="12" t="s">
        <v>40</v>
      </c>
      <c r="S622" s="12" t="s">
        <v>45</v>
      </c>
      <c r="T622" s="12" t="s">
        <v>46</v>
      </c>
      <c r="U622" s="34" t="s">
        <v>41</v>
      </c>
      <c r="V622" s="36" t="s">
        <v>39</v>
      </c>
      <c r="W622" s="11" t="s">
        <v>40</v>
      </c>
      <c r="X622" s="11" t="s">
        <v>45</v>
      </c>
      <c r="Y622" s="11" t="s">
        <v>46</v>
      </c>
      <c r="Z622" s="37" t="s">
        <v>41</v>
      </c>
      <c r="AA622" s="39" t="s">
        <v>41</v>
      </c>
      <c r="AB622" s="40" t="s">
        <v>43</v>
      </c>
      <c r="AC622" s="161"/>
      <c r="AD622" s="43" t="s">
        <v>27</v>
      </c>
      <c r="AE622" s="1" t="s">
        <v>28</v>
      </c>
      <c r="AF622" s="1" t="s">
        <v>29</v>
      </c>
      <c r="AG622" s="1" t="s">
        <v>30</v>
      </c>
      <c r="AH622" s="139"/>
    </row>
    <row r="623" spans="1:34" x14ac:dyDescent="0.25">
      <c r="A623" s="24">
        <v>2</v>
      </c>
      <c r="B623" s="9">
        <v>9</v>
      </c>
      <c r="C623" s="9">
        <v>500</v>
      </c>
      <c r="D623" s="9">
        <v>2</v>
      </c>
      <c r="E623" s="48">
        <f>B623*C623/60+D623</f>
        <v>77</v>
      </c>
      <c r="F623" s="100">
        <v>76</v>
      </c>
      <c r="G623" s="49">
        <f>B$5*(1-AD623*C$5)</f>
        <v>0</v>
      </c>
      <c r="H623" s="50">
        <f>G623+E623</f>
        <v>77</v>
      </c>
      <c r="I623" s="15">
        <f>(H623/D$5)^E$5</f>
        <v>0.13693992990275231</v>
      </c>
      <c r="J623" s="15">
        <f>(G623/D$5)^E$5</f>
        <v>0</v>
      </c>
      <c r="K623" s="29">
        <f>1-EXP(J623-I623)</f>
        <v>0.1279773929583623</v>
      </c>
      <c r="L623" s="51">
        <f>B$6*(1-AE623*C$6)</f>
        <v>0</v>
      </c>
      <c r="M623" s="52">
        <f>L623+E623</f>
        <v>77</v>
      </c>
      <c r="N623" s="17">
        <f>(M623/D$6)^E$6</f>
        <v>0.10605109964467559</v>
      </c>
      <c r="O623" s="17">
        <f>(L623/D$6)^E$6</f>
        <v>0</v>
      </c>
      <c r="P623" s="32">
        <f>1-EXP(O623-N623)</f>
        <v>0.10062131102974814</v>
      </c>
      <c r="Q623" s="53">
        <f>B$7*(1-AF623*C$7)</f>
        <v>0</v>
      </c>
      <c r="R623" s="54">
        <f>Q623+E623</f>
        <v>77</v>
      </c>
      <c r="S623" s="16">
        <f>(R623/D$7)^E$7</f>
        <v>0.2221804751105394</v>
      </c>
      <c r="T623" s="16">
        <f>(Q623/D$7)^E$7</f>
        <v>0</v>
      </c>
      <c r="U623" s="35">
        <f>1-EXP(T623-S623)</f>
        <v>0.19922916791162293</v>
      </c>
      <c r="V623" s="55">
        <f>B$8*(1-AG623*C$8)</f>
        <v>0</v>
      </c>
      <c r="W623" s="56">
        <f>V623+E623</f>
        <v>77</v>
      </c>
      <c r="X623" s="18">
        <f>(W623/D$8)^E$8</f>
        <v>1.1551497592884551E-2</v>
      </c>
      <c r="Y623" s="18">
        <f>(V623/D$8)^E$8</f>
        <v>0</v>
      </c>
      <c r="Z623" s="38">
        <f>1-EXP(Y623-X623)</f>
        <v>1.1485035204098715E-2</v>
      </c>
      <c r="AA623" s="41">
        <f>K623*P623*U623*Z623</f>
        <v>2.9465138194053318E-5</v>
      </c>
      <c r="AB623" s="42">
        <f>1-AA623</f>
        <v>0.99997053486180598</v>
      </c>
      <c r="AC623" s="47">
        <f>(AD623*F$5+AE623*F$6+AF623*F$7+AG623*F$8)+E623</f>
        <v>77</v>
      </c>
      <c r="AD623" s="43">
        <v>0</v>
      </c>
      <c r="AE623" s="1">
        <v>0</v>
      </c>
      <c r="AF623" s="1">
        <v>0</v>
      </c>
      <c r="AG623" s="1">
        <v>0</v>
      </c>
      <c r="AH623" s="74">
        <v>40</v>
      </c>
    </row>
    <row r="624" spans="1:34" x14ac:dyDescent="0.25">
      <c r="A624" s="76">
        <v>4</v>
      </c>
      <c r="B624" s="58">
        <v>8</v>
      </c>
      <c r="C624" s="9">
        <v>500</v>
      </c>
      <c r="D624" s="58">
        <v>3</v>
      </c>
      <c r="E624" s="48">
        <f t="shared" ref="E624:E626" si="65">B624*C624/60+D624</f>
        <v>69.666666666666671</v>
      </c>
      <c r="F624" s="100">
        <v>140</v>
      </c>
      <c r="G624" s="49">
        <f>H623*(1-AD624*C$5)</f>
        <v>77</v>
      </c>
      <c r="H624" s="50">
        <f>G624+E624</f>
        <v>146.66666666666669</v>
      </c>
      <c r="I624" s="15">
        <f>(H624/D$5)^E$5</f>
        <v>0.41749810283193062</v>
      </c>
      <c r="J624" s="15">
        <f>(G624/D$5)^E$5</f>
        <v>0.13693992990275231</v>
      </c>
      <c r="K624" s="29">
        <f>1-EXP(J624-I624)</f>
        <v>0.24463799885610593</v>
      </c>
      <c r="L624" s="51">
        <f>M623*(1-AE624*C$6)</f>
        <v>77</v>
      </c>
      <c r="M624" s="52">
        <f>L624+E624</f>
        <v>146.66666666666669</v>
      </c>
      <c r="N624" s="17">
        <f>(M624/D$6)^E$6</f>
        <v>0.35613584348340649</v>
      </c>
      <c r="O624" s="17">
        <f>(L624/D$6)^E$6</f>
        <v>0.10605109964467559</v>
      </c>
      <c r="P624" s="32">
        <f>1-EXP(O624-N624)</f>
        <v>0.2212652127001522</v>
      </c>
      <c r="Q624" s="53">
        <f>R623*(1-AF624*C$7)</f>
        <v>77</v>
      </c>
      <c r="R624" s="54">
        <f>Q624+E624</f>
        <v>146.66666666666669</v>
      </c>
      <c r="S624" s="16">
        <f>(R624/D$7)^E$7</f>
        <v>1.0634541830073496</v>
      </c>
      <c r="T624" s="16">
        <f>(Q624/D$7)^E$7</f>
        <v>0.2221804751105394</v>
      </c>
      <c r="U624" s="35">
        <f>1-EXP(T624-S624)</f>
        <v>0.56883899963352347</v>
      </c>
      <c r="V624" s="55">
        <f>W623*(1-AG624*C$8)</f>
        <v>77</v>
      </c>
      <c r="W624" s="56">
        <f>V624+E624</f>
        <v>146.66666666666669</v>
      </c>
      <c r="X624" s="18">
        <f>(W624/D$8)^E$8</f>
        <v>5.897056032024859E-2</v>
      </c>
      <c r="Y624" s="18">
        <f>(V624/D$8)^E$8</f>
        <v>1.1551497592884551E-2</v>
      </c>
      <c r="Z624" s="38">
        <f>1-EXP(Y624-X624)</f>
        <v>4.631234111296112E-2</v>
      </c>
      <c r="AA624" s="41">
        <f>K624*P624*U624*Z624</f>
        <v>1.4260119156093449E-3</v>
      </c>
      <c r="AB624" s="42">
        <f>1-AA624</f>
        <v>0.99857398808439068</v>
      </c>
      <c r="AC624" s="47">
        <f>AF624*F$7+E624+AC623</f>
        <v>146.66666666666669</v>
      </c>
      <c r="AD624" s="43">
        <v>0</v>
      </c>
      <c r="AE624" s="1">
        <v>0</v>
      </c>
      <c r="AF624" s="1">
        <v>0</v>
      </c>
      <c r="AG624" s="1">
        <v>0</v>
      </c>
      <c r="AH624" s="74">
        <v>85</v>
      </c>
    </row>
    <row r="625" spans="1:34" x14ac:dyDescent="0.25">
      <c r="A625" s="24">
        <v>1</v>
      </c>
      <c r="B625" s="9">
        <v>6</v>
      </c>
      <c r="C625" s="58">
        <v>500</v>
      </c>
      <c r="D625" s="58">
        <v>5</v>
      </c>
      <c r="E625" s="48">
        <f t="shared" si="65"/>
        <v>55</v>
      </c>
      <c r="F625" s="100">
        <v>106</v>
      </c>
      <c r="G625" s="68">
        <f>H624*(1-AD625*C$5)</f>
        <v>102.66666666666667</v>
      </c>
      <c r="H625" s="69">
        <f>G625+E625</f>
        <v>157.66666666666669</v>
      </c>
      <c r="I625" s="70">
        <f>(H625/D$5)^E$5</f>
        <v>0.47314161668142424</v>
      </c>
      <c r="J625" s="70">
        <f>(G625/D$5)^E$5</f>
        <v>0.22525483181366224</v>
      </c>
      <c r="K625" s="29">
        <f>1-EXP(J625-I625)</f>
        <v>0.21955170316640893</v>
      </c>
      <c r="L625" s="51">
        <f>M624*(1-AE625*C$6)</f>
        <v>102.66666666666667</v>
      </c>
      <c r="M625" s="52">
        <f>L625+E625</f>
        <v>157.66666666666669</v>
      </c>
      <c r="N625" s="17">
        <f>(M625/D$6)^E$6</f>
        <v>0.40800322739554595</v>
      </c>
      <c r="O625" s="17">
        <f>(L625/D$6)^E$6</f>
        <v>0.18213776408892768</v>
      </c>
      <c r="P625" s="32">
        <f>1-EXP(O625-N625)</f>
        <v>0.20217456875895568</v>
      </c>
      <c r="Q625" s="53">
        <f>R624*(1-AF625*C$7)</f>
        <v>102.66666666666667</v>
      </c>
      <c r="R625" s="54">
        <f>Q625+E625</f>
        <v>157.66666666666669</v>
      </c>
      <c r="S625" s="16">
        <f>(R625/D$7)^E$7</f>
        <v>1.2677725729300298</v>
      </c>
      <c r="T625" s="16">
        <f>(Q625/D$7)^E$7</f>
        <v>0.44699948326797367</v>
      </c>
      <c r="U625" s="35">
        <f>1-EXP(T625-S625)</f>
        <v>0.55990870707098139</v>
      </c>
      <c r="V625" s="55">
        <f>W624*(1-AG625*C$8)</f>
        <v>146.66666666666669</v>
      </c>
      <c r="W625" s="56">
        <f>V625+E625</f>
        <v>201.66666666666669</v>
      </c>
      <c r="X625" s="18">
        <f>(W625/D$8)^E$8</f>
        <v>0.13199001575183039</v>
      </c>
      <c r="Y625" s="18">
        <f>(V625/D$8)^E$8</f>
        <v>5.897056032024859E-2</v>
      </c>
      <c r="Z625" s="38">
        <f>1-EXP(Y625-X625)</f>
        <v>7.0417255583621996E-2</v>
      </c>
      <c r="AA625" s="41">
        <f>K625*P625*U625*Z625</f>
        <v>1.7500870538216565E-3</v>
      </c>
      <c r="AB625" s="42">
        <f>1-AA625</f>
        <v>0.99824991294617837</v>
      </c>
      <c r="AC625" s="47">
        <f>(AF625*F$7)+E625+AC624</f>
        <v>209.66666666666669</v>
      </c>
      <c r="AD625" s="77">
        <v>1</v>
      </c>
      <c r="AE625" s="78">
        <v>1</v>
      </c>
      <c r="AF625" s="78">
        <v>1</v>
      </c>
      <c r="AG625" s="78">
        <v>0</v>
      </c>
      <c r="AH625" s="74">
        <v>110</v>
      </c>
    </row>
    <row r="626" spans="1:34" ht="15.75" thickBot="1" x14ac:dyDescent="0.3">
      <c r="A626" s="57">
        <v>3</v>
      </c>
      <c r="B626" s="58">
        <v>5</v>
      </c>
      <c r="C626" s="58">
        <v>500</v>
      </c>
      <c r="D626" s="9">
        <v>4</v>
      </c>
      <c r="E626" s="48">
        <f t="shared" si="65"/>
        <v>45.666666666666664</v>
      </c>
      <c r="F626" s="100">
        <v>95</v>
      </c>
      <c r="G626" s="68">
        <f>H625*(1-AD626*C$5)</f>
        <v>110.36666666666667</v>
      </c>
      <c r="H626" s="69">
        <f>G626+E626</f>
        <v>156.03333333333333</v>
      </c>
      <c r="I626" s="70">
        <f>(H626/D$5)^E$5</f>
        <v>0.46469417134425517</v>
      </c>
      <c r="J626" s="70">
        <f>(G626/D$5)^E$5</f>
        <v>0.25527645411246963</v>
      </c>
      <c r="K626" s="29">
        <f>1-EXP(J626-I626)</f>
        <v>0.18894362734892267</v>
      </c>
      <c r="L626" s="51">
        <f>M625*(1-AE626*C$6)</f>
        <v>110.36666666666667</v>
      </c>
      <c r="M626" s="52">
        <f>L626+E626</f>
        <v>156.03333333333333</v>
      </c>
      <c r="N626" s="17">
        <f>(M626/D$6)^E$6</f>
        <v>0.40009331888325944</v>
      </c>
      <c r="O626" s="17">
        <f>(L626/D$6)^E$6</f>
        <v>0.20866418513797683</v>
      </c>
      <c r="P626" s="32">
        <f>1-EXP(O626-N626)</f>
        <v>0.17422185716279748</v>
      </c>
      <c r="Q626" s="53">
        <f>R625*(1-AF626*C$7)</f>
        <v>110.36666666666667</v>
      </c>
      <c r="R626" s="54">
        <f>Q626+E626</f>
        <v>156.03333333333333</v>
      </c>
      <c r="S626" s="16">
        <f>(R626/D$7)^E$7</f>
        <v>1.236094511081606</v>
      </c>
      <c r="T626" s="16">
        <f>(Q626/D$7)^E$7</f>
        <v>0.53288020683549875</v>
      </c>
      <c r="U626" s="35">
        <f>1-EXP(T626-S626)</f>
        <v>0.50500830990741408</v>
      </c>
      <c r="V626" s="55">
        <f>W625*(1-AG626*C$8)</f>
        <v>201.66666666666669</v>
      </c>
      <c r="W626" s="56">
        <f>V626+E626</f>
        <v>247.33333333333334</v>
      </c>
      <c r="X626" s="18">
        <f>(W626/D$8)^E$8</f>
        <v>0.22121871391987213</v>
      </c>
      <c r="Y626" s="18">
        <f>(V626/D$8)^E$8</f>
        <v>0.13199001575183039</v>
      </c>
      <c r="Z626" s="38">
        <f>1-EXP(Y626-X626)</f>
        <v>8.5363626009572924E-2</v>
      </c>
      <c r="AA626" s="41">
        <f>K626*P626*U626*Z626</f>
        <v>1.4190779977244171E-3</v>
      </c>
      <c r="AB626" s="42">
        <f>1-AA626</f>
        <v>0.99858092200227555</v>
      </c>
      <c r="AC626" s="47">
        <f>(AF626*F$7)+E626+AC625</f>
        <v>263.33333333333337</v>
      </c>
      <c r="AD626" s="80">
        <v>1</v>
      </c>
      <c r="AE626" s="45">
        <v>1</v>
      </c>
      <c r="AF626" s="81">
        <v>1</v>
      </c>
      <c r="AG626" s="45">
        <v>0</v>
      </c>
      <c r="AH626" s="94">
        <v>67</v>
      </c>
    </row>
    <row r="627" spans="1:34" ht="18.75" x14ac:dyDescent="0.3">
      <c r="A627" s="132" t="s">
        <v>53</v>
      </c>
      <c r="B627" s="132"/>
      <c r="C627" s="132"/>
      <c r="D627" s="132"/>
      <c r="E627" s="132"/>
      <c r="F627" s="132"/>
      <c r="G627" s="132"/>
      <c r="H627" s="132"/>
      <c r="I627" s="132"/>
      <c r="J627" s="132"/>
      <c r="AG627" s="46"/>
    </row>
    <row r="628" spans="1:34" ht="15.75" x14ac:dyDescent="0.25">
      <c r="A628" s="19" t="s">
        <v>48</v>
      </c>
      <c r="B628" s="60" t="s">
        <v>49</v>
      </c>
      <c r="C628" s="61" t="s">
        <v>50</v>
      </c>
      <c r="D628" s="19" t="s">
        <v>82</v>
      </c>
      <c r="E628" s="60" t="s">
        <v>57</v>
      </c>
      <c r="F628" s="61" t="s">
        <v>50</v>
      </c>
      <c r="G628" s="19" t="s">
        <v>58</v>
      </c>
      <c r="H628" s="60" t="s">
        <v>61</v>
      </c>
      <c r="I628" s="61" t="s">
        <v>50</v>
      </c>
      <c r="J628" s="19" t="s">
        <v>54</v>
      </c>
      <c r="K628" s="83" t="s">
        <v>84</v>
      </c>
      <c r="L628" s="61" t="s">
        <v>50</v>
      </c>
      <c r="M628" s="61" t="s">
        <v>85</v>
      </c>
      <c r="O628" s="174" t="s">
        <v>64</v>
      </c>
      <c r="P628" s="174"/>
      <c r="Q628" s="175" t="s">
        <v>109</v>
      </c>
      <c r="R628" s="175"/>
    </row>
    <row r="629" spans="1:34" ht="24.75" x14ac:dyDescent="0.25">
      <c r="A629" s="61" t="s">
        <v>51</v>
      </c>
      <c r="B629" s="1">
        <f>AA623</f>
        <v>2.9465138194053318E-5</v>
      </c>
      <c r="C629" s="59">
        <f>MAX(AC623+1*L616-F623,0)</f>
        <v>13</v>
      </c>
      <c r="D629" s="62" t="s">
        <v>55</v>
      </c>
      <c r="E629" s="1">
        <f>AA623*AA624</f>
        <v>4.2017638159796044E-8</v>
      </c>
      <c r="F629" s="1">
        <f>MAX(AC624+2*L616-F624,0)</f>
        <v>30.666666666666686</v>
      </c>
      <c r="G629" s="62" t="s">
        <v>59</v>
      </c>
      <c r="H629" s="1">
        <f>AA623*AA624*AA625</f>
        <v>7.3534524575621874E-11</v>
      </c>
      <c r="I629" s="1">
        <f>AC625+3*L616-F625</f>
        <v>139.66666666666669</v>
      </c>
      <c r="J629" s="62" t="s">
        <v>83</v>
      </c>
      <c r="K629" s="1">
        <f>AA623*AA624*AA625*AA626</f>
        <v>1.0435122589839044E-13</v>
      </c>
      <c r="L629" s="1">
        <f>AC626+4*L616-F626</f>
        <v>216.33333333333337</v>
      </c>
      <c r="M629" s="1">
        <f>B629*C629*AH623+E629*F629*AH624+H629*I629*AH625+K629*L629*AH626</f>
        <v>1.5432529085624942E-2</v>
      </c>
      <c r="O629" s="1" t="s">
        <v>27</v>
      </c>
      <c r="P629" s="1">
        <f>2*H614</f>
        <v>3640</v>
      </c>
      <c r="Q629" s="1">
        <f>(K623*(1-P623)*(1-U623)*(1-Z623))+(P623*(1-K623)*(1-U623)*(1-Z623))+(U623*(1-K623)*(1-P623)*(1-Z623))+(Z623*(1-K623)*(1-P623)*(1-U623))</f>
        <v>0.32223571239848364</v>
      </c>
      <c r="R629" s="1">
        <f>Q629*(L$7*(J$5*K$5+L$5)+I$5)</f>
        <v>11357.197683484555</v>
      </c>
    </row>
    <row r="630" spans="1:34" ht="24.75" x14ac:dyDescent="0.25">
      <c r="A630" s="62" t="s">
        <v>52</v>
      </c>
      <c r="B630" s="1">
        <f>AB623</f>
        <v>0.99997053486180598</v>
      </c>
      <c r="C630" s="59">
        <f>MAX(AC623-F623,0)</f>
        <v>1</v>
      </c>
      <c r="D630" s="62" t="s">
        <v>56</v>
      </c>
      <c r="E630" s="1">
        <f>AA623*AB624+AA624*AB623</f>
        <v>1.4553930185270787E-3</v>
      </c>
      <c r="F630" s="1">
        <f>MAX(AC624+1*L616-F624,0)</f>
        <v>18.666666666666686</v>
      </c>
      <c r="G630" s="62" t="s">
        <v>60</v>
      </c>
      <c r="H630" s="1">
        <f>AA623*AA624*AB625+AA624*AA625*AB623+AA623*AA625*AB624</f>
        <v>2.5890085835818829E-6</v>
      </c>
      <c r="I630" s="1">
        <f>AC625+2*L616-F625</f>
        <v>127.66666666666669</v>
      </c>
      <c r="J630" s="62" t="s">
        <v>59</v>
      </c>
      <c r="K630">
        <f>AB623*AA624*AA625*AA626+AB624*AA623*AA625*AA626*+AB625*AA623*AA624*AA626+AB626*AA623*AA624*AA625</f>
        <v>3.6148407205531442E-9</v>
      </c>
      <c r="L630" s="1">
        <f>AC626+3*L616-F626</f>
        <v>204.33333333333337</v>
      </c>
      <c r="M630" s="1">
        <f>B630*C630*AH623+E630*F630*AH624+H630*I630*AH625+K630*L630*AH626</f>
        <v>42.344452782785048</v>
      </c>
      <c r="O630" s="1" t="s">
        <v>28</v>
      </c>
      <c r="P630" s="1">
        <f>2*H615</f>
        <v>5440</v>
      </c>
      <c r="Q630" s="1">
        <f t="shared" ref="Q630:Q632" si="66">(K624*(1-P624)*(1-U624)*(1-Z624))+(P624*(1-K624)*(1-U624)*(1-Z624))+(U624*(1-K624)*(1-P624)*(1-Z624))+(Z624*(1-K624)*(1-P624)*(1-U624))</f>
        <v>0.47791608162662924</v>
      </c>
      <c r="R630" s="1">
        <f t="shared" ref="R630:R632" si="67">Q630*(L$7*(J$5*K$5+L$5)+I$5)</f>
        <v>16844.152296930548</v>
      </c>
    </row>
    <row r="631" spans="1:34" ht="24.75" x14ac:dyDescent="0.25">
      <c r="A631" s="1"/>
      <c r="B631" s="1"/>
      <c r="C631" s="1"/>
      <c r="D631" s="62" t="s">
        <v>52</v>
      </c>
      <c r="E631" s="1">
        <f>AB623*AB624</f>
        <v>0.99854456496383481</v>
      </c>
      <c r="F631" s="59">
        <f>MAX(AC624-F624,0)</f>
        <v>6.6666666666666856</v>
      </c>
      <c r="G631" s="62" t="s">
        <v>56</v>
      </c>
      <c r="H631" s="1">
        <f>AA623*AB624*AB625+AA624*AB623*AB625*+AA625*AB623*AB624</f>
        <v>3.1859205738234894E-5</v>
      </c>
      <c r="I631" s="1">
        <f>AC625+1*L616-F625</f>
        <v>115.66666666666669</v>
      </c>
      <c r="J631" s="62" t="s">
        <v>60</v>
      </c>
      <c r="K631" s="1">
        <f>AA623*AA624*AB625*AB626 + AA623*AA625*AB624*AB626 + AA623*AA626*AB624*AB625 + AA624*AA625*AB623*AB626 + AA624*AA626*AB623*AB625 + AA625*AA626*AB623*AB624</f>
        <v>7.1269317506033836E-6</v>
      </c>
      <c r="L631" s="1">
        <f>AC626+2*L616-F626</f>
        <v>192.33333333333337</v>
      </c>
      <c r="M631" s="1">
        <f>B631*C631*AH623+E631*F631*AH624+H631*I631*AH625+K631*L631*AH626</f>
        <v>566.33911545869967</v>
      </c>
      <c r="O631" s="1" t="s">
        <v>29</v>
      </c>
      <c r="P631" s="1">
        <f>2*(F616*(J614*K614+L614)+H616)</f>
        <v>28200</v>
      </c>
      <c r="Q631" s="1">
        <f t="shared" si="66"/>
        <v>0.47959063400802854</v>
      </c>
      <c r="R631" s="1">
        <f t="shared" si="67"/>
        <v>16903.171895612966</v>
      </c>
    </row>
    <row r="632" spans="1:34" ht="24.75" x14ac:dyDescent="0.25">
      <c r="A632" s="1"/>
      <c r="B632" s="1"/>
      <c r="C632" s="1"/>
      <c r="D632" s="1"/>
      <c r="E632" s="1"/>
      <c r="F632" s="1"/>
      <c r="G632" s="62" t="s">
        <v>52</v>
      </c>
      <c r="H632" s="1">
        <f>AB623*AB624*AB625</f>
        <v>0.9967970250480277</v>
      </c>
      <c r="I632" s="63">
        <f>AC625-F625</f>
        <v>103.66666666666669</v>
      </c>
      <c r="J632" s="62" t="s">
        <v>56</v>
      </c>
      <c r="K632" s="1">
        <f>AA623*AB624*AB625*AB626+AA624*AB623*AB625*AB626+AA625*AB623*AB624*AB626+AA626*AB623*AB624*AB625</f>
        <v>4.6103769991249896E-3</v>
      </c>
      <c r="L632" s="1">
        <f>AC626+1*L616-F626</f>
        <v>180.33333333333337</v>
      </c>
      <c r="M632" s="1">
        <f>B632*C632*AH623+E632*F632*AH624+H632*I632*AH625+K632*L632*AH626</f>
        <v>11422.512853993438</v>
      </c>
      <c r="O632" s="1" t="s">
        <v>30</v>
      </c>
      <c r="P632" s="1">
        <v>0</v>
      </c>
      <c r="Q632" s="1">
        <f t="shared" si="66"/>
        <v>0.47227004579025278</v>
      </c>
      <c r="R632" s="1">
        <f t="shared" si="67"/>
        <v>16645.157763877458</v>
      </c>
    </row>
    <row r="633" spans="1:34" ht="30" x14ac:dyDescent="0.25">
      <c r="I633" s="84"/>
      <c r="J633" s="62" t="s">
        <v>52</v>
      </c>
      <c r="K633" s="85">
        <f>AB623*AB624*AB625*AB626</f>
        <v>0.99538249232158482</v>
      </c>
      <c r="L633" s="1">
        <f>AC626+0*L616-F626</f>
        <v>168.33333333333337</v>
      </c>
      <c r="M633" s="1">
        <f>B633*C633*AH623+E633*F633*AH624+H633*I633*AH625+K633*L633*AH626</f>
        <v>11226.255542566943</v>
      </c>
      <c r="O633" s="64" t="s">
        <v>65</v>
      </c>
      <c r="P633" s="65">
        <f>SUM(P629:P632)</f>
        <v>37280</v>
      </c>
      <c r="Q633" s="96" t="s">
        <v>108</v>
      </c>
      <c r="R633" s="97">
        <f>SUM(R629:R632)</f>
        <v>61749.679639905531</v>
      </c>
    </row>
    <row r="634" spans="1:34" x14ac:dyDescent="0.25">
      <c r="L634" s="176" t="s">
        <v>63</v>
      </c>
      <c r="M634" s="177">
        <f>SUM(M629:M633)</f>
        <v>23257.467397330951</v>
      </c>
    </row>
    <row r="635" spans="1:34" x14ac:dyDescent="0.25">
      <c r="L635" s="176"/>
      <c r="M635" s="177"/>
    </row>
    <row r="636" spans="1:34" x14ac:dyDescent="0.25">
      <c r="A636" s="178" t="s">
        <v>90</v>
      </c>
      <c r="B636" s="178"/>
      <c r="C636" s="178"/>
      <c r="D636" s="178"/>
      <c r="E636" s="178"/>
      <c r="F636" s="178"/>
      <c r="G636" s="178"/>
      <c r="H636" s="178"/>
      <c r="I636" s="178"/>
      <c r="J636" s="178"/>
      <c r="K636" s="178"/>
      <c r="L636" s="178"/>
      <c r="M636" s="178"/>
      <c r="N636" s="178"/>
    </row>
    <row r="637" spans="1:34" ht="15.75" x14ac:dyDescent="0.25">
      <c r="A637" s="87" t="s">
        <v>75</v>
      </c>
      <c r="B637" s="62" t="s">
        <v>49</v>
      </c>
      <c r="C637" s="90" t="s">
        <v>87</v>
      </c>
      <c r="D637" s="62" t="s">
        <v>88</v>
      </c>
      <c r="E637" s="87" t="s">
        <v>86</v>
      </c>
      <c r="F637" s="62" t="s">
        <v>57</v>
      </c>
      <c r="G637" s="90" t="s">
        <v>103</v>
      </c>
      <c r="H637" s="62" t="s">
        <v>88</v>
      </c>
      <c r="I637" s="87" t="s">
        <v>77</v>
      </c>
      <c r="J637" s="62" t="s">
        <v>61</v>
      </c>
      <c r="K637" s="90" t="s">
        <v>78</v>
      </c>
      <c r="L637" s="62" t="s">
        <v>88</v>
      </c>
      <c r="M637" s="87" t="s">
        <v>76</v>
      </c>
      <c r="N637" s="62" t="s">
        <v>84</v>
      </c>
      <c r="O637" s="90" t="s">
        <v>102</v>
      </c>
      <c r="P637" s="62" t="s">
        <v>88</v>
      </c>
    </row>
    <row r="638" spans="1:34" ht="24.75" x14ac:dyDescent="0.25">
      <c r="A638" s="62" t="s">
        <v>51</v>
      </c>
      <c r="B638" s="86">
        <v>2.9465138194053318E-5</v>
      </c>
      <c r="C638" s="86">
        <f>AC623+1*L616</f>
        <v>89</v>
      </c>
      <c r="D638" s="86">
        <f>MAX(B638*1.5*((C638-F623)*500/2),0)</f>
        <v>0.14364254869600993</v>
      </c>
      <c r="E638" s="62" t="s">
        <v>55</v>
      </c>
      <c r="F638" s="86">
        <v>4.2017638159796044E-8</v>
      </c>
      <c r="G638" s="86">
        <f>AC624+2*L616</f>
        <v>170.66666666666669</v>
      </c>
      <c r="H638" s="86">
        <f>F638*1.5*((G638-F624)*500/2+(G638-F625)*500+(G638-F626)*500)</f>
        <v>4.905559255156189E-3</v>
      </c>
      <c r="I638" s="62" t="s">
        <v>59</v>
      </c>
      <c r="J638" s="86">
        <v>7.3534524575621874E-11</v>
      </c>
      <c r="K638" s="86">
        <f>AC625+3*L616</f>
        <v>245.66666666666669</v>
      </c>
      <c r="L638" s="86">
        <f>J638*1.5*((K638-G638)*500/2+(K638-G638)*500)</f>
        <v>6.2044755110680958E-6</v>
      </c>
      <c r="M638" s="62" t="s">
        <v>83</v>
      </c>
      <c r="N638" s="86">
        <v>1.0435122589839044E-13</v>
      </c>
      <c r="O638" s="86">
        <f>AC626+4*L616</f>
        <v>311.33333333333337</v>
      </c>
      <c r="P638" s="86">
        <f>N638*1.5*((O638-K638)*500/2)</f>
        <v>2.5696489377478651E-9</v>
      </c>
    </row>
    <row r="639" spans="1:34" ht="24.75" x14ac:dyDescent="0.25">
      <c r="A639" s="62" t="s">
        <v>52</v>
      </c>
      <c r="B639" s="86">
        <v>0.99997053486180598</v>
      </c>
      <c r="C639" s="88">
        <f>AC623</f>
        <v>77</v>
      </c>
      <c r="D639" s="86">
        <f>MAX(B639*1.5*((C639-F623)*500/2),0)</f>
        <v>374.98895057317725</v>
      </c>
      <c r="E639" s="62" t="s">
        <v>56</v>
      </c>
      <c r="F639" s="86">
        <v>1.4553930185270787E-3</v>
      </c>
      <c r="G639" s="86">
        <f>AC624+1*L616</f>
        <v>158.66666666666669</v>
      </c>
      <c r="H639" s="86">
        <f>F639*1.5*((G639-F624)*500/2+(G639-F625)*500+(G639-F626)*500)</f>
        <v>137.17079199617723</v>
      </c>
      <c r="I639" s="62" t="s">
        <v>60</v>
      </c>
      <c r="J639" s="86">
        <v>2.5890085835818829E-6</v>
      </c>
      <c r="K639" s="86">
        <f>AC625+2*L616</f>
        <v>233.66666666666669</v>
      </c>
      <c r="L639" s="86">
        <f>J639*1.5*((K639-G639)*500/2+(K639-G639)*500)</f>
        <v>0.21844759923972137</v>
      </c>
      <c r="M639" s="62" t="s">
        <v>59</v>
      </c>
      <c r="N639" s="86">
        <v>3.6148407205531442E-9</v>
      </c>
      <c r="O639" s="86">
        <f>AC626+3*L616</f>
        <v>299.33333333333337</v>
      </c>
      <c r="P639" s="86">
        <f>N639*1.5*((O639-K639)*500/2)</f>
        <v>8.9015452743621199E-5</v>
      </c>
    </row>
    <row r="640" spans="1:34" x14ac:dyDescent="0.25">
      <c r="A640" s="86"/>
      <c r="B640" s="86"/>
      <c r="C640" s="89" t="s">
        <v>89</v>
      </c>
      <c r="D640" s="89">
        <f>SUM(D638:D639)</f>
        <v>375.13259312187324</v>
      </c>
      <c r="E640" s="62" t="s">
        <v>52</v>
      </c>
      <c r="F640" s="86">
        <v>0.99854456496383481</v>
      </c>
      <c r="G640" s="86">
        <f>AC624+0*L616</f>
        <v>146.66666666666669</v>
      </c>
      <c r="H640" s="86">
        <f>F640*1.5*((G640-F624)*500/2+(G640-F625)*500+(G640-F626)*500)</f>
        <v>71645.572536155189</v>
      </c>
      <c r="I640" s="62" t="s">
        <v>56</v>
      </c>
      <c r="J640" s="86">
        <v>3.1859205738234894E-5</v>
      </c>
      <c r="K640" s="86">
        <f>AC625+1*L616</f>
        <v>221.66666666666669</v>
      </c>
      <c r="L640" s="86">
        <f>J640*1.5*((K640-G640)*500/2+(K640-G640)*500)</f>
        <v>2.6881204841635689</v>
      </c>
      <c r="M640" s="62" t="s">
        <v>60</v>
      </c>
      <c r="N640" s="86">
        <v>7.1269317506033836E-6</v>
      </c>
      <c r="O640" s="86">
        <f>AC626+2*L616</f>
        <v>287.33333333333337</v>
      </c>
      <c r="P640" s="86">
        <f>N640*1.5*((O640-K640)*500/2)</f>
        <v>0.17550069435860838</v>
      </c>
    </row>
    <row r="641" spans="1:22" x14ac:dyDescent="0.25">
      <c r="A641" s="86"/>
      <c r="B641" s="86"/>
      <c r="C641" s="86"/>
      <c r="D641" s="86"/>
      <c r="E641" s="86"/>
      <c r="F641" s="86"/>
      <c r="G641" s="89" t="s">
        <v>79</v>
      </c>
      <c r="H641" s="89">
        <f>SUM(H638:H640)</f>
        <v>71782.748233710619</v>
      </c>
      <c r="I641" s="62" t="s">
        <v>52</v>
      </c>
      <c r="J641" s="86">
        <v>0.9967970250480277</v>
      </c>
      <c r="K641" s="86">
        <f>AC625+0*L616</f>
        <v>209.66666666666669</v>
      </c>
      <c r="L641" s="86">
        <f>J641*1.5*((K641-F640)*500/2+(K641-G640)*500)</f>
        <v>125098.57068352032</v>
      </c>
      <c r="M641" s="62" t="s">
        <v>56</v>
      </c>
      <c r="N641" s="86">
        <v>4.6103769991249896E-3</v>
      </c>
      <c r="O641" s="86">
        <f>AC626+1*L616</f>
        <v>275.33333333333337</v>
      </c>
      <c r="P641" s="86">
        <f>N641*1.5*((O641-K641)*500/2)</f>
        <v>113.53053360345289</v>
      </c>
    </row>
    <row r="642" spans="1:22" x14ac:dyDescent="0.25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9" t="s">
        <v>79</v>
      </c>
      <c r="L642" s="89">
        <f>SUM(L638:L641)</f>
        <v>125101.47725780819</v>
      </c>
      <c r="M642" s="62" t="s">
        <v>52</v>
      </c>
      <c r="N642" s="86">
        <v>0.99538249232158482</v>
      </c>
      <c r="O642" s="86">
        <f>AC626+0*L616</f>
        <v>263.33333333333337</v>
      </c>
      <c r="P642" s="86">
        <f>N642*1.5*((O642-K641)*500/2)</f>
        <v>20032.072657971905</v>
      </c>
      <c r="Q642" s="179" t="s">
        <v>80</v>
      </c>
      <c r="R642" s="179"/>
      <c r="S642" s="180">
        <f>D640+H641+L642+P643</f>
        <v>217405.13686592845</v>
      </c>
      <c r="T642" s="180"/>
    </row>
    <row r="643" spans="1:22" x14ac:dyDescent="0.25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9" t="s">
        <v>79</v>
      </c>
      <c r="P643" s="89">
        <f>SUM(P638:P642)</f>
        <v>20145.77878128774</v>
      </c>
      <c r="Q643" s="179"/>
      <c r="R643" s="179"/>
      <c r="S643" s="180"/>
      <c r="T643" s="180"/>
    </row>
    <row r="644" spans="1:22" x14ac:dyDescent="0.25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</row>
    <row r="645" spans="1:22" x14ac:dyDescent="0.25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</row>
    <row r="646" spans="1:22" x14ac:dyDescent="0.25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</row>
    <row r="647" spans="1:22" ht="24.75" thickBot="1" x14ac:dyDescent="0.3">
      <c r="O647" s="131" t="s">
        <v>81</v>
      </c>
      <c r="P647" s="131"/>
      <c r="Q647" s="131">
        <f>(R633+P633+M634+S642)/AC626</f>
        <v>1289.9706983664489</v>
      </c>
      <c r="R647" s="131"/>
    </row>
    <row r="648" spans="1:22" x14ac:dyDescent="0.25">
      <c r="A648" s="181" t="s">
        <v>122</v>
      </c>
      <c r="B648" s="182"/>
    </row>
    <row r="649" spans="1:22" ht="15.75" thickBot="1" x14ac:dyDescent="0.3">
      <c r="A649" s="183"/>
      <c r="B649" s="184"/>
    </row>
    <row r="650" spans="1:22" ht="21" x14ac:dyDescent="0.35">
      <c r="A650" s="185" t="s">
        <v>14</v>
      </c>
      <c r="B650" s="185"/>
      <c r="C650" s="165"/>
      <c r="D650" s="165"/>
      <c r="E650" s="165"/>
      <c r="F650" s="165"/>
      <c r="G650" s="165"/>
      <c r="H650" s="165"/>
      <c r="I650" s="165"/>
      <c r="J650" s="165"/>
      <c r="K650" s="165"/>
      <c r="L650" s="165"/>
      <c r="M650" s="165"/>
      <c r="O650" s="166" t="s">
        <v>72</v>
      </c>
      <c r="P650" s="166"/>
      <c r="Q650" s="166"/>
      <c r="R650" s="166"/>
      <c r="S650" s="166"/>
      <c r="T650" s="166"/>
      <c r="U650" s="166"/>
      <c r="V650" s="166"/>
    </row>
    <row r="651" spans="1:22" ht="36" x14ac:dyDescent="0.25">
      <c r="A651" s="4" t="s">
        <v>15</v>
      </c>
      <c r="B651" s="4" t="s">
        <v>16</v>
      </c>
      <c r="C651" s="4" t="s">
        <v>31</v>
      </c>
      <c r="D651" s="6" t="s">
        <v>17</v>
      </c>
      <c r="E651" s="6" t="s">
        <v>18</v>
      </c>
      <c r="F651" s="6" t="s">
        <v>19</v>
      </c>
      <c r="G651" s="6" t="s">
        <v>20</v>
      </c>
      <c r="H651" s="6" t="s">
        <v>21</v>
      </c>
      <c r="I651" s="6" t="s">
        <v>22</v>
      </c>
      <c r="J651" s="6" t="s">
        <v>23</v>
      </c>
      <c r="K651" s="6" t="s">
        <v>24</v>
      </c>
      <c r="L651" s="6" t="s">
        <v>25</v>
      </c>
      <c r="M651" s="6" t="s">
        <v>26</v>
      </c>
      <c r="N651" s="8"/>
      <c r="O651" s="167" t="s">
        <v>32</v>
      </c>
      <c r="P651" s="167" t="s">
        <v>35</v>
      </c>
      <c r="Q651" s="167" t="s">
        <v>66</v>
      </c>
      <c r="R651" s="99" t="s">
        <v>67</v>
      </c>
      <c r="S651" s="99" t="s">
        <v>68</v>
      </c>
      <c r="T651" s="167" t="s">
        <v>69</v>
      </c>
      <c r="U651" s="71" t="s">
        <v>33</v>
      </c>
      <c r="V651" s="99" t="s">
        <v>70</v>
      </c>
    </row>
    <row r="652" spans="1:22" x14ac:dyDescent="0.25">
      <c r="A652" s="3" t="s">
        <v>27</v>
      </c>
      <c r="B652" s="3">
        <v>0</v>
      </c>
      <c r="C652" s="3">
        <v>0.3</v>
      </c>
      <c r="D652" s="3">
        <v>243</v>
      </c>
      <c r="E652" s="3">
        <v>1.73</v>
      </c>
      <c r="F652" s="3">
        <v>5</v>
      </c>
      <c r="G652" s="169">
        <v>12</v>
      </c>
      <c r="H652" s="3">
        <v>1820</v>
      </c>
      <c r="I652" s="169">
        <v>19645</v>
      </c>
      <c r="J652" s="3">
        <v>20</v>
      </c>
      <c r="K652" s="3">
        <v>40</v>
      </c>
      <c r="L652" s="3">
        <v>500</v>
      </c>
      <c r="M652" s="3">
        <v>1000</v>
      </c>
      <c r="O652" s="168"/>
      <c r="P652" s="168"/>
      <c r="Q652" s="168"/>
      <c r="R652" s="72" t="s">
        <v>71</v>
      </c>
      <c r="S652" s="72" t="s">
        <v>71</v>
      </c>
      <c r="T652" s="168"/>
      <c r="U652" s="73">
        <v>500</v>
      </c>
      <c r="V652" s="3">
        <v>1.5</v>
      </c>
    </row>
    <row r="653" spans="1:22" x14ac:dyDescent="0.25">
      <c r="A653" s="3" t="s">
        <v>28</v>
      </c>
      <c r="B653" s="3">
        <v>0</v>
      </c>
      <c r="C653" s="3">
        <v>0.3</v>
      </c>
      <c r="D653" s="3">
        <v>254</v>
      </c>
      <c r="E653" s="3">
        <v>1.88</v>
      </c>
      <c r="F653" s="3">
        <v>3</v>
      </c>
      <c r="G653" s="170"/>
      <c r="H653" s="3">
        <v>2720</v>
      </c>
      <c r="I653" s="170"/>
      <c r="J653" s="5"/>
      <c r="K653" s="5"/>
      <c r="L653" s="5"/>
      <c r="M653" s="5"/>
      <c r="O653" s="74">
        <v>1</v>
      </c>
      <c r="P653" s="74">
        <v>106</v>
      </c>
      <c r="Q653" s="74">
        <v>110</v>
      </c>
      <c r="R653" s="74">
        <v>6</v>
      </c>
      <c r="S653" s="74">
        <v>5</v>
      </c>
      <c r="T653" s="74">
        <f>R653*$U$5/60+S653</f>
        <v>55</v>
      </c>
      <c r="U653" s="75"/>
    </row>
    <row r="654" spans="1:22" x14ac:dyDescent="0.25">
      <c r="A654" s="3" t="s">
        <v>29</v>
      </c>
      <c r="B654" s="3">
        <v>0</v>
      </c>
      <c r="C654" s="3">
        <v>0.3</v>
      </c>
      <c r="D654" s="3">
        <v>143</v>
      </c>
      <c r="E654" s="3">
        <v>2.4300000000000002</v>
      </c>
      <c r="F654" s="3">
        <v>8</v>
      </c>
      <c r="G654" s="170"/>
      <c r="H654" s="3">
        <v>3700</v>
      </c>
      <c r="I654" s="170"/>
      <c r="J654" s="5"/>
      <c r="K654" s="140" t="s">
        <v>73</v>
      </c>
      <c r="L654" s="141">
        <v>12</v>
      </c>
      <c r="M654" s="140" t="s">
        <v>74</v>
      </c>
      <c r="N654" s="141">
        <v>19645</v>
      </c>
      <c r="O654" s="74">
        <v>2</v>
      </c>
      <c r="P654" s="74">
        <v>76</v>
      </c>
      <c r="Q654" s="74">
        <v>40</v>
      </c>
      <c r="R654" s="74">
        <v>9</v>
      </c>
      <c r="S654" s="74">
        <v>2</v>
      </c>
      <c r="T654" s="74">
        <f t="shared" ref="T654:T656" si="68">R654*$U$5/60+S654</f>
        <v>77</v>
      </c>
      <c r="U654" s="75"/>
    </row>
    <row r="655" spans="1:22" x14ac:dyDescent="0.25">
      <c r="A655" s="3" t="s">
        <v>30</v>
      </c>
      <c r="B655" s="3">
        <v>0</v>
      </c>
      <c r="C655" s="3">
        <v>0.3</v>
      </c>
      <c r="D655" s="3">
        <v>449</v>
      </c>
      <c r="E655" s="3">
        <v>2.5299999999999998</v>
      </c>
      <c r="F655" s="3">
        <v>4</v>
      </c>
      <c r="G655" s="171"/>
      <c r="H655" s="3">
        <v>4320</v>
      </c>
      <c r="I655" s="171"/>
      <c r="J655" s="5"/>
      <c r="K655" s="140"/>
      <c r="L655" s="141"/>
      <c r="M655" s="140"/>
      <c r="N655" s="141"/>
      <c r="O655" s="74">
        <v>3</v>
      </c>
      <c r="P655" s="74">
        <v>95</v>
      </c>
      <c r="Q655" s="74">
        <v>67</v>
      </c>
      <c r="R655" s="74">
        <v>5</v>
      </c>
      <c r="S655" s="74">
        <v>4</v>
      </c>
      <c r="T655" s="74">
        <f t="shared" si="68"/>
        <v>45.666666666666664</v>
      </c>
      <c r="U655" s="75"/>
    </row>
    <row r="656" spans="1:22" ht="15.75" thickBo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O656" s="74">
        <v>4</v>
      </c>
      <c r="P656" s="74">
        <v>140</v>
      </c>
      <c r="Q656" s="94">
        <v>85</v>
      </c>
      <c r="R656" s="94">
        <v>8</v>
      </c>
      <c r="S656" s="94">
        <v>3</v>
      </c>
      <c r="T656" s="74">
        <f t="shared" si="68"/>
        <v>69.666666666666671</v>
      </c>
    </row>
    <row r="657" spans="1:34" ht="15" customHeight="1" x14ac:dyDescent="0.25">
      <c r="A657" s="172" t="s">
        <v>104</v>
      </c>
      <c r="B657" s="144" t="s">
        <v>105</v>
      </c>
      <c r="C657" s="144"/>
      <c r="D657" s="144"/>
      <c r="E657" s="144"/>
      <c r="F657" s="20" t="s">
        <v>27</v>
      </c>
      <c r="G657" s="20" t="s">
        <v>28</v>
      </c>
      <c r="H657" s="20" t="s">
        <v>29</v>
      </c>
      <c r="I657" s="20" t="s">
        <v>30</v>
      </c>
    </row>
    <row r="658" spans="1:34" ht="15.75" customHeight="1" thickBot="1" x14ac:dyDescent="0.3">
      <c r="A658" s="173"/>
      <c r="B658" s="145"/>
      <c r="C658" s="145"/>
      <c r="D658" s="145"/>
      <c r="E658" s="145"/>
      <c r="F658" s="20">
        <v>84</v>
      </c>
      <c r="G658" s="26">
        <v>84</v>
      </c>
      <c r="H658" s="26">
        <v>84</v>
      </c>
      <c r="I658" s="26">
        <v>252</v>
      </c>
    </row>
    <row r="659" spans="1:34" ht="15.75" customHeight="1" thickBot="1" x14ac:dyDescent="0.3">
      <c r="A659" s="173"/>
      <c r="B659" s="145"/>
      <c r="C659" s="145"/>
      <c r="D659" s="145"/>
      <c r="E659" s="145"/>
      <c r="F659" s="7"/>
      <c r="G659" s="146" t="s">
        <v>27</v>
      </c>
      <c r="H659" s="147"/>
      <c r="I659" s="147"/>
      <c r="J659" s="147"/>
      <c r="K659" s="148"/>
      <c r="L659" s="149" t="s">
        <v>28</v>
      </c>
      <c r="M659" s="150"/>
      <c r="N659" s="150"/>
      <c r="O659" s="150"/>
      <c r="P659" s="151"/>
      <c r="Q659" s="152" t="s">
        <v>29</v>
      </c>
      <c r="R659" s="153"/>
      <c r="S659" s="153"/>
      <c r="T659" s="153"/>
      <c r="U659" s="154"/>
      <c r="V659" s="155" t="s">
        <v>30</v>
      </c>
      <c r="W659" s="156"/>
      <c r="X659" s="156"/>
      <c r="Y659" s="156"/>
      <c r="Z659" s="157"/>
      <c r="AA659" s="158" t="s">
        <v>42</v>
      </c>
      <c r="AB659" s="159"/>
      <c r="AC659" s="160" t="s">
        <v>44</v>
      </c>
      <c r="AD659" s="162" t="s">
        <v>47</v>
      </c>
      <c r="AE659" s="163"/>
      <c r="AF659" s="163"/>
      <c r="AG659" s="164"/>
      <c r="AH659" s="138" t="s">
        <v>62</v>
      </c>
    </row>
    <row r="660" spans="1:34" ht="36.75" x14ac:dyDescent="0.25">
      <c r="A660" s="21" t="s">
        <v>32</v>
      </c>
      <c r="B660" s="22" t="s">
        <v>37</v>
      </c>
      <c r="C660" s="23" t="s">
        <v>33</v>
      </c>
      <c r="D660" s="22" t="s">
        <v>38</v>
      </c>
      <c r="E660" s="22" t="s">
        <v>34</v>
      </c>
      <c r="F660" s="25" t="s">
        <v>35</v>
      </c>
      <c r="G660" s="27" t="s">
        <v>39</v>
      </c>
      <c r="H660" s="10" t="s">
        <v>40</v>
      </c>
      <c r="I660" s="10" t="s">
        <v>45</v>
      </c>
      <c r="J660" s="10" t="s">
        <v>46</v>
      </c>
      <c r="K660" s="28" t="s">
        <v>41</v>
      </c>
      <c r="L660" s="30" t="s">
        <v>39</v>
      </c>
      <c r="M660" s="13" t="s">
        <v>40</v>
      </c>
      <c r="N660" s="13" t="s">
        <v>45</v>
      </c>
      <c r="O660" s="13" t="s">
        <v>46</v>
      </c>
      <c r="P660" s="31" t="s">
        <v>41</v>
      </c>
      <c r="Q660" s="33" t="s">
        <v>39</v>
      </c>
      <c r="R660" s="12" t="s">
        <v>40</v>
      </c>
      <c r="S660" s="12" t="s">
        <v>45</v>
      </c>
      <c r="T660" s="12" t="s">
        <v>46</v>
      </c>
      <c r="U660" s="34" t="s">
        <v>41</v>
      </c>
      <c r="V660" s="36" t="s">
        <v>39</v>
      </c>
      <c r="W660" s="11" t="s">
        <v>40</v>
      </c>
      <c r="X660" s="11" t="s">
        <v>45</v>
      </c>
      <c r="Y660" s="11" t="s">
        <v>46</v>
      </c>
      <c r="Z660" s="37" t="s">
        <v>41</v>
      </c>
      <c r="AA660" s="39" t="s">
        <v>41</v>
      </c>
      <c r="AB660" s="40" t="s">
        <v>43</v>
      </c>
      <c r="AC660" s="161"/>
      <c r="AD660" s="43" t="s">
        <v>27</v>
      </c>
      <c r="AE660" s="1" t="s">
        <v>28</v>
      </c>
      <c r="AF660" s="1" t="s">
        <v>29</v>
      </c>
      <c r="AG660" s="1" t="s">
        <v>30</v>
      </c>
      <c r="AH660" s="139"/>
    </row>
    <row r="661" spans="1:34" x14ac:dyDescent="0.25">
      <c r="A661" s="24">
        <v>2</v>
      </c>
      <c r="B661" s="9">
        <v>9</v>
      </c>
      <c r="C661" s="9">
        <v>500</v>
      </c>
      <c r="D661" s="9">
        <v>2</v>
      </c>
      <c r="E661" s="48">
        <f>B661*C661/60+D661</f>
        <v>77</v>
      </c>
      <c r="F661" s="100">
        <v>76</v>
      </c>
      <c r="G661" s="49">
        <f>B$5*(1-AD661*C$5)</f>
        <v>0</v>
      </c>
      <c r="H661" s="50">
        <f>G661+E661</f>
        <v>77</v>
      </c>
      <c r="I661" s="15">
        <f>(H661/D$5)^E$5</f>
        <v>0.13693992990275231</v>
      </c>
      <c r="J661" s="15">
        <f>(G661/D$5)^E$5</f>
        <v>0</v>
      </c>
      <c r="K661" s="29">
        <f>1-EXP(J661-I661)</f>
        <v>0.1279773929583623</v>
      </c>
      <c r="L661" s="51">
        <f>B$6*(1-AE661*C$6)</f>
        <v>0</v>
      </c>
      <c r="M661" s="52">
        <f>L661+E661</f>
        <v>77</v>
      </c>
      <c r="N661" s="17">
        <f>(M661/D$6)^E$6</f>
        <v>0.10605109964467559</v>
      </c>
      <c r="O661" s="17">
        <f>(L661/D$6)^E$6</f>
        <v>0</v>
      </c>
      <c r="P661" s="32">
        <f>1-EXP(O661-N661)</f>
        <v>0.10062131102974814</v>
      </c>
      <c r="Q661" s="53">
        <f>B$7*(1-AF661*C$7)</f>
        <v>0</v>
      </c>
      <c r="R661" s="54">
        <f>Q661+E661</f>
        <v>77</v>
      </c>
      <c r="S661" s="16">
        <f>(R661/D$7)^E$7</f>
        <v>0.2221804751105394</v>
      </c>
      <c r="T661" s="16">
        <f>(Q661/D$7)^E$7</f>
        <v>0</v>
      </c>
      <c r="U661" s="35">
        <f>1-EXP(T661-S661)</f>
        <v>0.19922916791162293</v>
      </c>
      <c r="V661" s="55">
        <f>B$8*(1-AG661*C$8)</f>
        <v>0</v>
      </c>
      <c r="W661" s="56">
        <f>V661+E661</f>
        <v>77</v>
      </c>
      <c r="X661" s="18">
        <f>(W661/D$8)^E$8</f>
        <v>1.1551497592884551E-2</v>
      </c>
      <c r="Y661" s="18">
        <f>(V661/D$8)^E$8</f>
        <v>0</v>
      </c>
      <c r="Z661" s="38">
        <f>1-EXP(Y661-X661)</f>
        <v>1.1485035204098715E-2</v>
      </c>
      <c r="AA661" s="41">
        <f>K661*P661*U661*Z661</f>
        <v>2.9465138194053318E-5</v>
      </c>
      <c r="AB661" s="42">
        <f>1-AA661</f>
        <v>0.99997053486180598</v>
      </c>
      <c r="AC661" s="47">
        <f>(AD661*F$5+AE661*F$6+AF661*F$7+AG661*F$8)+E661</f>
        <v>77</v>
      </c>
      <c r="AD661" s="43">
        <v>0</v>
      </c>
      <c r="AE661" s="1">
        <v>0</v>
      </c>
      <c r="AF661" s="1">
        <v>0</v>
      </c>
      <c r="AG661" s="1">
        <v>0</v>
      </c>
      <c r="AH661" s="74">
        <v>40</v>
      </c>
    </row>
    <row r="662" spans="1:34" x14ac:dyDescent="0.25">
      <c r="A662" s="76">
        <v>4</v>
      </c>
      <c r="B662" s="58">
        <v>8</v>
      </c>
      <c r="C662" s="9">
        <v>500</v>
      </c>
      <c r="D662" s="58">
        <v>3</v>
      </c>
      <c r="E662" s="48">
        <f t="shared" ref="E662:E664" si="69">B662*C662/60+D662</f>
        <v>69.666666666666671</v>
      </c>
      <c r="F662" s="100">
        <v>140</v>
      </c>
      <c r="G662" s="49">
        <f>H661*(1-AD662*C$5)</f>
        <v>77</v>
      </c>
      <c r="H662" s="50">
        <f>G662+E662</f>
        <v>146.66666666666669</v>
      </c>
      <c r="I662" s="15">
        <f>(H662/D$5)^E$5</f>
        <v>0.41749810283193062</v>
      </c>
      <c r="J662" s="15">
        <f>(G662/D$5)^E$5</f>
        <v>0.13693992990275231</v>
      </c>
      <c r="K662" s="29">
        <f>1-EXP(J662-I662)</f>
        <v>0.24463799885610593</v>
      </c>
      <c r="L662" s="51">
        <f>M661*(1-AE662*C$6)</f>
        <v>77</v>
      </c>
      <c r="M662" s="52">
        <f>L662+E662</f>
        <v>146.66666666666669</v>
      </c>
      <c r="N662" s="17">
        <f>(M662/D$6)^E$6</f>
        <v>0.35613584348340649</v>
      </c>
      <c r="O662" s="17">
        <f>(L662/D$6)^E$6</f>
        <v>0.10605109964467559</v>
      </c>
      <c r="P662" s="32">
        <f>1-EXP(O662-N662)</f>
        <v>0.2212652127001522</v>
      </c>
      <c r="Q662" s="53">
        <f>R661*(1-AF662*C$7)</f>
        <v>77</v>
      </c>
      <c r="R662" s="54">
        <f>Q662+E662</f>
        <v>146.66666666666669</v>
      </c>
      <c r="S662" s="16">
        <f>(R662/D$7)^E$7</f>
        <v>1.0634541830073496</v>
      </c>
      <c r="T662" s="16">
        <f>(Q662/D$7)^E$7</f>
        <v>0.2221804751105394</v>
      </c>
      <c r="U662" s="35">
        <f>1-EXP(T662-S662)</f>
        <v>0.56883899963352347</v>
      </c>
      <c r="V662" s="55">
        <f>W661*(1-AG662*C$8)</f>
        <v>77</v>
      </c>
      <c r="W662" s="56">
        <f>V662+E662</f>
        <v>146.66666666666669</v>
      </c>
      <c r="X662" s="18">
        <f>(W662/D$8)^E$8</f>
        <v>5.897056032024859E-2</v>
      </c>
      <c r="Y662" s="18">
        <f>(V662/D$8)^E$8</f>
        <v>1.1551497592884551E-2</v>
      </c>
      <c r="Z662" s="38">
        <f>1-EXP(Y662-X662)</f>
        <v>4.631234111296112E-2</v>
      </c>
      <c r="AA662" s="41">
        <f>K662*P662*U662*Z662</f>
        <v>1.4260119156093449E-3</v>
      </c>
      <c r="AB662" s="42">
        <f>1-AA662</f>
        <v>0.99857398808439068</v>
      </c>
      <c r="AC662" s="47">
        <f>AF662*F$7+E662+AC661</f>
        <v>146.66666666666669</v>
      </c>
      <c r="AD662" s="43">
        <v>0</v>
      </c>
      <c r="AE662" s="1">
        <v>0</v>
      </c>
      <c r="AF662" s="1">
        <v>0</v>
      </c>
      <c r="AG662" s="1">
        <v>0</v>
      </c>
      <c r="AH662" s="74">
        <v>85</v>
      </c>
    </row>
    <row r="663" spans="1:34" x14ac:dyDescent="0.25">
      <c r="A663" s="24">
        <v>3</v>
      </c>
      <c r="B663" s="9">
        <v>5</v>
      </c>
      <c r="C663" s="58">
        <v>500</v>
      </c>
      <c r="D663" s="58">
        <v>4</v>
      </c>
      <c r="E663" s="48">
        <f t="shared" si="69"/>
        <v>45.666666666666664</v>
      </c>
      <c r="F663" s="100">
        <v>95</v>
      </c>
      <c r="G663" s="68">
        <f>H662*(1-AD663*C$5)</f>
        <v>102.66666666666667</v>
      </c>
      <c r="H663" s="69">
        <f>G663+E663</f>
        <v>148.33333333333334</v>
      </c>
      <c r="I663" s="70">
        <f>(H663/D$5)^E$5</f>
        <v>0.42573974432201439</v>
      </c>
      <c r="J663" s="70">
        <f>(G663/D$5)^E$5</f>
        <v>0.22525483181366224</v>
      </c>
      <c r="K663" s="29">
        <f>1-EXP(J663-I663)</f>
        <v>0.18166616346248299</v>
      </c>
      <c r="L663" s="51">
        <f>M662*(1-AE663*C$6)</f>
        <v>102.66666666666667</v>
      </c>
      <c r="M663" s="52">
        <f>L663+E663</f>
        <v>148.33333333333334</v>
      </c>
      <c r="N663" s="17">
        <f>(M663/D$6)^E$6</f>
        <v>0.36378222468595994</v>
      </c>
      <c r="O663" s="17">
        <f>(L663/D$6)^E$6</f>
        <v>0.18213776408892768</v>
      </c>
      <c r="P663" s="32">
        <f>1-EXP(O663-N663)</f>
        <v>0.16610222876808511</v>
      </c>
      <c r="Q663" s="53">
        <f>R662*(1-AF663*C$7)</f>
        <v>102.66666666666667</v>
      </c>
      <c r="R663" s="54">
        <f>Q663+E663</f>
        <v>148.33333333333334</v>
      </c>
      <c r="S663" s="16">
        <f>(R663/D$7)^E$7</f>
        <v>1.0930590055302554</v>
      </c>
      <c r="T663" s="16">
        <f>(Q663/D$7)^E$7</f>
        <v>0.44699948326797367</v>
      </c>
      <c r="U663" s="35">
        <f>1-EXP(T663-S663)</f>
        <v>0.4758930551511471</v>
      </c>
      <c r="V663" s="55">
        <f>W662*(1-AG663*C$8)</f>
        <v>146.66666666666669</v>
      </c>
      <c r="W663" s="56">
        <f>V663+E663</f>
        <v>192.33333333333334</v>
      </c>
      <c r="X663" s="18">
        <f>(W663/D$8)^E$8</f>
        <v>0.11707786390726455</v>
      </c>
      <c r="Y663" s="18">
        <f>(V663/D$8)^E$8</f>
        <v>5.897056032024859E-2</v>
      </c>
      <c r="Z663" s="38">
        <f>1-EXP(Y663-X663)</f>
        <v>5.6451304155022197E-2</v>
      </c>
      <c r="AA663" s="41">
        <f>K663*P663*U663*Z663</f>
        <v>8.1064899962540716E-4</v>
      </c>
      <c r="AB663" s="42">
        <f>1-AA663</f>
        <v>0.99918935100037465</v>
      </c>
      <c r="AC663" s="47">
        <f>(AF663*F$7)+E663+AC662</f>
        <v>200.33333333333334</v>
      </c>
      <c r="AD663" s="77">
        <v>1</v>
      </c>
      <c r="AE663" s="78">
        <v>1</v>
      </c>
      <c r="AF663" s="78">
        <v>1</v>
      </c>
      <c r="AG663" s="78">
        <v>0</v>
      </c>
      <c r="AH663" s="74">
        <v>67</v>
      </c>
    </row>
    <row r="664" spans="1:34" ht="15.75" thickBot="1" x14ac:dyDescent="0.3">
      <c r="A664" s="57">
        <v>1</v>
      </c>
      <c r="B664" s="58">
        <v>6</v>
      </c>
      <c r="C664" s="58">
        <v>500</v>
      </c>
      <c r="D664" s="9">
        <v>5</v>
      </c>
      <c r="E664" s="48">
        <f t="shared" si="69"/>
        <v>55</v>
      </c>
      <c r="F664" s="100">
        <v>106</v>
      </c>
      <c r="G664" s="68">
        <f>H663*(1-AD664*C$5)</f>
        <v>103.83333333333333</v>
      </c>
      <c r="H664" s="69">
        <f>G664+E664</f>
        <v>158.83333333333331</v>
      </c>
      <c r="I664" s="70">
        <f>(H664/D$5)^E$5</f>
        <v>0.47921477720274397</v>
      </c>
      <c r="J664" s="70">
        <f>(G664/D$5)^E$5</f>
        <v>0.22970148571490079</v>
      </c>
      <c r="K664" s="29">
        <f>1-EXP(J664-I664)</f>
        <v>0.22082007570005269</v>
      </c>
      <c r="L664" s="51">
        <f>M663*(1-AE664*C$6)</f>
        <v>103.83333333333333</v>
      </c>
      <c r="M664" s="52">
        <f>L664+E664</f>
        <v>158.83333333333331</v>
      </c>
      <c r="N664" s="17">
        <f>(M664/D$6)^E$6</f>
        <v>0.41369751790718035</v>
      </c>
      <c r="O664" s="17">
        <f>(L664/D$6)^E$6</f>
        <v>0.1860483358583474</v>
      </c>
      <c r="P664" s="32">
        <f>1-EXP(O664-N664)</f>
        <v>0.203596396486313</v>
      </c>
      <c r="Q664" s="53">
        <f>R663*(1-AF664*C$7)</f>
        <v>103.83333333333333</v>
      </c>
      <c r="R664" s="54">
        <f>Q664+E664</f>
        <v>158.83333333333331</v>
      </c>
      <c r="S664" s="16">
        <f>(R664/D$7)^E$7</f>
        <v>1.2906890901009902</v>
      </c>
      <c r="T664" s="16">
        <f>(Q664/D$7)^E$7</f>
        <v>0.45944321669949417</v>
      </c>
      <c r="U664" s="35">
        <f>1-EXP(T664-S664)</f>
        <v>0.56449363760856475</v>
      </c>
      <c r="V664" s="55">
        <f>W663*(1-AG664*C$8)</f>
        <v>192.33333333333334</v>
      </c>
      <c r="W664" s="56">
        <f>V664+E664</f>
        <v>247.33333333333334</v>
      </c>
      <c r="X664" s="18">
        <f>(W664/D$8)^E$8</f>
        <v>0.22121871391987213</v>
      </c>
      <c r="Y664" s="18">
        <f>(V664/D$8)^E$8</f>
        <v>0.11707786390726455</v>
      </c>
      <c r="Z664" s="38">
        <f>1-EXP(Y664-X664)</f>
        <v>9.8901631234138088E-2</v>
      </c>
      <c r="AA664" s="41">
        <f>K664*P664*U664*Z664</f>
        <v>2.5099851238137723E-3</v>
      </c>
      <c r="AB664" s="42">
        <f>1-AA664</f>
        <v>0.99749001487618627</v>
      </c>
      <c r="AC664" s="47">
        <f>(AF664*F$7)+E664+AC663</f>
        <v>263.33333333333337</v>
      </c>
      <c r="AD664" s="80">
        <v>1</v>
      </c>
      <c r="AE664" s="45">
        <v>1</v>
      </c>
      <c r="AF664" s="81">
        <v>1</v>
      </c>
      <c r="AG664" s="45">
        <v>0</v>
      </c>
      <c r="AH664" s="94">
        <v>110</v>
      </c>
    </row>
    <row r="665" spans="1:34" ht="18.75" x14ac:dyDescent="0.3">
      <c r="A665" s="132" t="s">
        <v>53</v>
      </c>
      <c r="B665" s="132"/>
      <c r="C665" s="132"/>
      <c r="D665" s="132"/>
      <c r="E665" s="132"/>
      <c r="F665" s="132"/>
      <c r="G665" s="132"/>
      <c r="H665" s="132"/>
      <c r="I665" s="132"/>
      <c r="J665" s="132"/>
      <c r="AG665" s="46"/>
    </row>
    <row r="666" spans="1:34" ht="15.75" x14ac:dyDescent="0.25">
      <c r="A666" s="19" t="s">
        <v>48</v>
      </c>
      <c r="B666" s="60" t="s">
        <v>49</v>
      </c>
      <c r="C666" s="61" t="s">
        <v>50</v>
      </c>
      <c r="D666" s="19" t="s">
        <v>82</v>
      </c>
      <c r="E666" s="60" t="s">
        <v>57</v>
      </c>
      <c r="F666" s="61" t="s">
        <v>50</v>
      </c>
      <c r="G666" s="19" t="s">
        <v>58</v>
      </c>
      <c r="H666" s="60" t="s">
        <v>61</v>
      </c>
      <c r="I666" s="61" t="s">
        <v>50</v>
      </c>
      <c r="J666" s="19" t="s">
        <v>54</v>
      </c>
      <c r="K666" s="83" t="s">
        <v>84</v>
      </c>
      <c r="L666" s="61" t="s">
        <v>50</v>
      </c>
      <c r="M666" s="61" t="s">
        <v>85</v>
      </c>
      <c r="O666" s="174" t="s">
        <v>64</v>
      </c>
      <c r="P666" s="174"/>
      <c r="Q666" s="175" t="s">
        <v>109</v>
      </c>
      <c r="R666" s="175"/>
    </row>
    <row r="667" spans="1:34" ht="24.75" x14ac:dyDescent="0.25">
      <c r="A667" s="61" t="s">
        <v>51</v>
      </c>
      <c r="B667" s="1">
        <f>AA661</f>
        <v>2.9465138194053318E-5</v>
      </c>
      <c r="C667" s="59">
        <f>MAX(AC661+1*L654-F661,0)</f>
        <v>13</v>
      </c>
      <c r="D667" s="62" t="s">
        <v>55</v>
      </c>
      <c r="E667" s="1">
        <f>AA661*AA662</f>
        <v>4.2017638159796044E-8</v>
      </c>
      <c r="F667" s="1">
        <f>MAX(AC662+2*L654-F662,0)</f>
        <v>30.666666666666686</v>
      </c>
      <c r="G667" s="62" t="s">
        <v>59</v>
      </c>
      <c r="H667" s="1">
        <f>AA661*AA662*AA663</f>
        <v>3.4061556340860997E-11</v>
      </c>
      <c r="I667" s="1">
        <f>AC663+3*L654-F663</f>
        <v>141.33333333333334</v>
      </c>
      <c r="J667" s="62" t="s">
        <v>83</v>
      </c>
      <c r="K667" s="1">
        <f>AA661*AA662*AA663*AA664</f>
        <v>8.5493999709505767E-14</v>
      </c>
      <c r="L667" s="1">
        <f>AC664+4*L654-F664</f>
        <v>205.33333333333337</v>
      </c>
      <c r="M667" s="1">
        <f>B667*C667*AH661+E667*F667*AH662+H667*I667*AH663+K667*L667*AH664</f>
        <v>1.5431722308966243E-2</v>
      </c>
      <c r="O667" s="1" t="s">
        <v>27</v>
      </c>
      <c r="P667" s="1">
        <f>2*H652</f>
        <v>3640</v>
      </c>
      <c r="Q667" s="1">
        <f>(K661*(1-P661)*(1-U661)*(1-Z661))+(P661*(1-K661)*(1-U661)*(1-Z661))+(U661*(1-K661)*(1-P661)*(1-Z661))+(Z661*(1-K661)*(1-P661)*(1-U661))</f>
        <v>0.32223571239848364</v>
      </c>
      <c r="R667" s="1">
        <f>Q667*(L$7*(J$5*K$5+L$5)+I$5)</f>
        <v>11357.197683484555</v>
      </c>
    </row>
    <row r="668" spans="1:34" ht="24.75" x14ac:dyDescent="0.25">
      <c r="A668" s="62" t="s">
        <v>52</v>
      </c>
      <c r="B668" s="1">
        <f>AB661</f>
        <v>0.99997053486180598</v>
      </c>
      <c r="C668" s="59">
        <f>MAX(AC661-F661,0)</f>
        <v>1</v>
      </c>
      <c r="D668" s="62" t="s">
        <v>56</v>
      </c>
      <c r="E668" s="1">
        <f>AA661*AB662+AA662*AB661</f>
        <v>1.4553930185270787E-3</v>
      </c>
      <c r="F668" s="1">
        <f>MAX(AC662+1*L654-F662,0)</f>
        <v>18.666666666666686</v>
      </c>
      <c r="G668" s="62" t="s">
        <v>60</v>
      </c>
      <c r="H668" s="1">
        <f>AA661*AA662*AB663+AA662*AA663*AB661+AA661*AA663*AB662</f>
        <v>1.2217964711342332E-6</v>
      </c>
      <c r="I668" s="1">
        <f>AC663+2*L654-F663</f>
        <v>129.33333333333334</v>
      </c>
      <c r="J668" s="62" t="s">
        <v>59</v>
      </c>
      <c r="K668">
        <f>AB661*AA662*AA663*AA664+AB662*AA661*AA663*AA664*+AB663*AA661*AA662*AA664+AB664*AA661*AA662*AA663</f>
        <v>2.9354211549838676E-9</v>
      </c>
      <c r="L668" s="1">
        <f>AC664+3*L654-F664</f>
        <v>193.33333333333337</v>
      </c>
      <c r="M668" s="1">
        <f>B668*C668*AH661+E668*F668*AH662+H668*I668*AH663+K668*L668*AH664</f>
        <v>42.31869468417964</v>
      </c>
      <c r="O668" s="1" t="s">
        <v>28</v>
      </c>
      <c r="P668" s="1">
        <f>2*H653</f>
        <v>5440</v>
      </c>
      <c r="Q668" s="1">
        <f t="shared" ref="Q668:Q670" si="70">(K662*(1-P662)*(1-U662)*(1-Z662))+(P662*(1-K662)*(1-U662)*(1-Z662))+(U662*(1-K662)*(1-P662)*(1-Z662))+(Z662*(1-K662)*(1-P662)*(1-U662))</f>
        <v>0.47791608162662924</v>
      </c>
      <c r="R668" s="1">
        <f t="shared" ref="R668:R670" si="71">Q668*(L$7*(J$5*K$5+L$5)+I$5)</f>
        <v>16844.152296930548</v>
      </c>
    </row>
    <row r="669" spans="1:34" ht="24.75" x14ac:dyDescent="0.25">
      <c r="A669" s="1"/>
      <c r="B669" s="1"/>
      <c r="C669" s="1"/>
      <c r="D669" s="62" t="s">
        <v>52</v>
      </c>
      <c r="E669" s="1">
        <f>AB661*AB662</f>
        <v>0.99854456496383481</v>
      </c>
      <c r="F669" s="59">
        <f>MAX(AC662-F662,0)</f>
        <v>6.6666666666666856</v>
      </c>
      <c r="G669" s="62" t="s">
        <v>56</v>
      </c>
      <c r="H669" s="1">
        <f>AA661*AB662*AB663+AA662*AB661*AB663*+AA663*AB661*AB662</f>
        <v>3.0552611662862831E-5</v>
      </c>
      <c r="I669" s="1">
        <f>AC663+1*L654-F663</f>
        <v>117.33333333333334</v>
      </c>
      <c r="J669" s="62" t="s">
        <v>60</v>
      </c>
      <c r="K669" s="1">
        <f>AA661*AA662*AB663*AB664 + AA661*AA663*AB662*AB664 + AA661*AA664*AB662*AB663 + AA662*AA663*AB661*AB664 + AA662*AA664*AB661*AB663 + AA663*AA664*AB661*AB662</f>
        <v>6.9005388245447248E-6</v>
      </c>
      <c r="L669" s="1">
        <f>AC664+2*L654-F664</f>
        <v>181.33333333333337</v>
      </c>
      <c r="M669" s="1">
        <f>B669*C669*AH661+E669*F669*AH662+H669*I669*AH663+K669*L669*AH664</f>
        <v>566.21974715841384</v>
      </c>
      <c r="O669" s="1" t="s">
        <v>29</v>
      </c>
      <c r="P669" s="1">
        <f>2*(F654*(J652*K652+L652)+H654)</f>
        <v>28200</v>
      </c>
      <c r="Q669" s="1">
        <f t="shared" si="70"/>
        <v>0.46874408304968196</v>
      </c>
      <c r="R669" s="1">
        <f t="shared" si="71"/>
        <v>16520.885207086041</v>
      </c>
    </row>
    <row r="670" spans="1:34" ht="24.75" x14ac:dyDescent="0.25">
      <c r="A670" s="1"/>
      <c r="B670" s="1"/>
      <c r="C670" s="1"/>
      <c r="D670" s="1"/>
      <c r="E670" s="1"/>
      <c r="F670" s="1"/>
      <c r="G670" s="62" t="s">
        <v>52</v>
      </c>
      <c r="H670" s="1">
        <f>AB661*AB662*AB663</f>
        <v>0.9977350958111656</v>
      </c>
      <c r="I670" s="63">
        <f>AC663-F663</f>
        <v>105.33333333333334</v>
      </c>
      <c r="J670" s="62" t="s">
        <v>56</v>
      </c>
      <c r="K670" s="1">
        <f>AA661*AB662*AB663*AB664+AA662*AB661*AB663*AB664+AA663*AB661*AB662*AB664+AA664*AB661*AB662*AB663</f>
        <v>4.7623007972504251E-3</v>
      </c>
      <c r="L670" s="1">
        <f>AC664+1*L654-F664</f>
        <v>169.33333333333337</v>
      </c>
      <c r="M670" s="1">
        <f>B670*C670*AH661+E670*F670*AH662+H670*I670*AH663+K670*L670*AH664</f>
        <v>7130.0549390214519</v>
      </c>
      <c r="O670" s="1" t="s">
        <v>30</v>
      </c>
      <c r="P670" s="1">
        <v>0</v>
      </c>
      <c r="Q670" s="1">
        <f t="shared" si="70"/>
        <v>0.47364480643711648</v>
      </c>
      <c r="R670" s="1">
        <f t="shared" si="71"/>
        <v>16693.611202876171</v>
      </c>
    </row>
    <row r="671" spans="1:34" ht="30" x14ac:dyDescent="0.25">
      <c r="I671" s="84"/>
      <c r="J671" s="62" t="s">
        <v>52</v>
      </c>
      <c r="K671" s="85">
        <f>AB661*AB662*AB663*AB664</f>
        <v>0.99523079556317273</v>
      </c>
      <c r="L671" s="1">
        <f>AC664+0*L654-F664</f>
        <v>157.33333333333337</v>
      </c>
      <c r="M671" s="1">
        <f>B671*C671*AH661+E671*F671*AH662+H671*I671*AH663+K671*L671*AH664</f>
        <v>17224.127635213314</v>
      </c>
      <c r="O671" s="64" t="s">
        <v>65</v>
      </c>
      <c r="P671" s="65">
        <f>SUM(P667:P670)</f>
        <v>37280</v>
      </c>
      <c r="Q671" s="96" t="s">
        <v>108</v>
      </c>
      <c r="R671" s="97">
        <f>SUM(R667:R670)</f>
        <v>61415.846390377315</v>
      </c>
    </row>
    <row r="672" spans="1:34" x14ac:dyDescent="0.25">
      <c r="L672" s="176" t="s">
        <v>63</v>
      </c>
      <c r="M672" s="177">
        <f>SUM(M667:M671)</f>
        <v>24962.736447799667</v>
      </c>
    </row>
    <row r="673" spans="1:22" x14ac:dyDescent="0.25">
      <c r="L673" s="176"/>
      <c r="M673" s="177"/>
    </row>
    <row r="674" spans="1:22" x14ac:dyDescent="0.25">
      <c r="A674" s="178" t="s">
        <v>90</v>
      </c>
      <c r="B674" s="178"/>
      <c r="C674" s="178"/>
      <c r="D674" s="178"/>
      <c r="E674" s="178"/>
      <c r="F674" s="178"/>
      <c r="G674" s="178"/>
      <c r="H674" s="178"/>
      <c r="I674" s="178"/>
      <c r="J674" s="178"/>
      <c r="K674" s="178"/>
      <c r="L674" s="178"/>
      <c r="M674" s="178"/>
      <c r="N674" s="178"/>
    </row>
    <row r="675" spans="1:22" ht="15.75" x14ac:dyDescent="0.25">
      <c r="A675" s="87" t="s">
        <v>75</v>
      </c>
      <c r="B675" s="62" t="s">
        <v>49</v>
      </c>
      <c r="C675" s="90" t="s">
        <v>87</v>
      </c>
      <c r="D675" s="62" t="s">
        <v>88</v>
      </c>
      <c r="E675" s="87" t="s">
        <v>86</v>
      </c>
      <c r="F675" s="62" t="s">
        <v>57</v>
      </c>
      <c r="G675" s="90" t="s">
        <v>103</v>
      </c>
      <c r="H675" s="62" t="s">
        <v>88</v>
      </c>
      <c r="I675" s="87" t="s">
        <v>77</v>
      </c>
      <c r="J675" s="62" t="s">
        <v>61</v>
      </c>
      <c r="K675" s="90" t="s">
        <v>78</v>
      </c>
      <c r="L675" s="62" t="s">
        <v>88</v>
      </c>
      <c r="M675" s="87" t="s">
        <v>76</v>
      </c>
      <c r="N675" s="62" t="s">
        <v>84</v>
      </c>
      <c r="O675" s="90" t="s">
        <v>102</v>
      </c>
      <c r="P675" s="62" t="s">
        <v>88</v>
      </c>
    </row>
    <row r="676" spans="1:22" ht="24.75" x14ac:dyDescent="0.25">
      <c r="A676" s="62" t="s">
        <v>51</v>
      </c>
      <c r="B676" s="86">
        <v>2.9465138194053318E-5</v>
      </c>
      <c r="C676" s="86">
        <f>AC661+1*L654</f>
        <v>89</v>
      </c>
      <c r="D676" s="86">
        <f>MAX(B676*1.5*((C676-F661)*500/2),0)</f>
        <v>0.14364254869600993</v>
      </c>
      <c r="E676" s="62" t="s">
        <v>55</v>
      </c>
      <c r="F676" s="86">
        <v>4.2017638159796044E-8</v>
      </c>
      <c r="G676" s="86">
        <f>AC662+2*L654</f>
        <v>170.66666666666669</v>
      </c>
      <c r="H676" s="86">
        <f>F676*1.5*((G676-F662)*500/2+(G676-F663)*500+(G676-F664)*500)</f>
        <v>4.905559255156189E-3</v>
      </c>
      <c r="I676" s="62" t="s">
        <v>59</v>
      </c>
      <c r="J676" s="86">
        <v>3.4061556340860997E-11</v>
      </c>
      <c r="K676" s="86">
        <f>AC663+3*L654</f>
        <v>236.33333333333334</v>
      </c>
      <c r="L676" s="86">
        <f>J676*1.5*((K676-G676)*500/2+(K676-G676)*500)</f>
        <v>2.5162974746811059E-6</v>
      </c>
      <c r="M676" s="62" t="s">
        <v>83</v>
      </c>
      <c r="N676" s="86">
        <v>8.5493999709505767E-14</v>
      </c>
      <c r="O676" s="86">
        <f>AC664+4*L654</f>
        <v>311.33333333333337</v>
      </c>
      <c r="P676" s="86">
        <f>N676*1.5*((O676-K676)*500/2)</f>
        <v>2.4045187418298505E-9</v>
      </c>
    </row>
    <row r="677" spans="1:22" ht="24.75" x14ac:dyDescent="0.25">
      <c r="A677" s="62" t="s">
        <v>52</v>
      </c>
      <c r="B677" s="86">
        <v>0.99997053486180598</v>
      </c>
      <c r="C677" s="88">
        <f>AC661</f>
        <v>77</v>
      </c>
      <c r="D677" s="86">
        <f>MAX(B677*1.5*((C677-F661)*500/2),0)</f>
        <v>374.98895057317725</v>
      </c>
      <c r="E677" s="62" t="s">
        <v>56</v>
      </c>
      <c r="F677" s="86">
        <v>1.4553930185270787E-3</v>
      </c>
      <c r="G677" s="86">
        <f>AC662+1*L654</f>
        <v>158.66666666666669</v>
      </c>
      <c r="H677" s="86">
        <f>F677*1.5*((G677-F662)*500/2+(G677-F663)*500+(G677-F664)*500)</f>
        <v>137.17079199617723</v>
      </c>
      <c r="I677" s="62" t="s">
        <v>60</v>
      </c>
      <c r="J677" s="86">
        <v>1.2217964711342332E-6</v>
      </c>
      <c r="K677" s="86">
        <f>AC663+2*L654</f>
        <v>224.33333333333334</v>
      </c>
      <c r="L677" s="86">
        <f>J677*1.5*((K677-G677)*500/2+(K677-G677)*500)</f>
        <v>9.026021430504147E-2</v>
      </c>
      <c r="M677" s="62" t="s">
        <v>59</v>
      </c>
      <c r="N677" s="86">
        <v>2.9354211549838676E-9</v>
      </c>
      <c r="O677" s="86">
        <f>AC664+3*L654</f>
        <v>299.33333333333337</v>
      </c>
      <c r="P677" s="86">
        <f>N677*1.5*((O677-K677)*500/2)</f>
        <v>8.255871998392131E-5</v>
      </c>
    </row>
    <row r="678" spans="1:22" x14ac:dyDescent="0.25">
      <c r="A678" s="86"/>
      <c r="B678" s="86"/>
      <c r="C678" s="89" t="s">
        <v>89</v>
      </c>
      <c r="D678" s="89">
        <f>SUM(D676:D677)</f>
        <v>375.13259312187324</v>
      </c>
      <c r="E678" s="62" t="s">
        <v>52</v>
      </c>
      <c r="F678" s="86">
        <v>0.99854456496383481</v>
      </c>
      <c r="G678" s="86">
        <f>AC662+0*L654</f>
        <v>146.66666666666669</v>
      </c>
      <c r="H678" s="86">
        <f>F678*1.5*((G678-F662)*500/2+(G678-F663)*500+(G678-F664)*500)</f>
        <v>71645.572536155189</v>
      </c>
      <c r="I678" s="62" t="s">
        <v>56</v>
      </c>
      <c r="J678" s="86">
        <v>3.0552611662862831E-5</v>
      </c>
      <c r="K678" s="86">
        <f>AC663+1*L654</f>
        <v>212.33333333333334</v>
      </c>
      <c r="L678" s="86">
        <f>J678*1.5*((K678-G678)*500/2+(K678-G678)*500)</f>
        <v>2.2570741865939912</v>
      </c>
      <c r="M678" s="62" t="s">
        <v>60</v>
      </c>
      <c r="N678" s="86">
        <v>6.9005388245447248E-6</v>
      </c>
      <c r="O678" s="86">
        <f>AC664+2*L654</f>
        <v>287.33333333333337</v>
      </c>
      <c r="P678" s="86">
        <f>N678*1.5*((O678-K678)*500/2)</f>
        <v>0.19407765444032046</v>
      </c>
    </row>
    <row r="679" spans="1:22" x14ac:dyDescent="0.25">
      <c r="A679" s="86"/>
      <c r="B679" s="86"/>
      <c r="C679" s="86"/>
      <c r="D679" s="86"/>
      <c r="E679" s="86"/>
      <c r="F679" s="86"/>
      <c r="G679" s="89" t="s">
        <v>79</v>
      </c>
      <c r="H679" s="89">
        <f>SUM(H676:H678)</f>
        <v>71782.748233710619</v>
      </c>
      <c r="I679" s="62" t="s">
        <v>52</v>
      </c>
      <c r="J679" s="86">
        <v>0.9977350958111656</v>
      </c>
      <c r="K679" s="86">
        <f>AC663+0*L654</f>
        <v>200.33333333333334</v>
      </c>
      <c r="L679" s="86">
        <f>J679*1.5*((K679-F678)*500/2+(K679-G678)*500)</f>
        <v>114740.08057026476</v>
      </c>
      <c r="M679" s="62" t="s">
        <v>56</v>
      </c>
      <c r="N679" s="86">
        <v>4.7623007972504251E-3</v>
      </c>
      <c r="O679" s="86">
        <f>AC664+1*L654</f>
        <v>275.33333333333337</v>
      </c>
      <c r="P679" s="86">
        <f>N679*1.5*((O679-K679)*500/2)</f>
        <v>133.93970992266824</v>
      </c>
    </row>
    <row r="680" spans="1:22" x14ac:dyDescent="0.25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9" t="s">
        <v>79</v>
      </c>
      <c r="L680" s="89">
        <f>SUM(L676:L679)</f>
        <v>114742.42790718196</v>
      </c>
      <c r="M680" s="62" t="s">
        <v>52</v>
      </c>
      <c r="N680" s="86">
        <v>0.99523079556317273</v>
      </c>
      <c r="O680" s="86">
        <f>AC664+0*L654</f>
        <v>263.33333333333337</v>
      </c>
      <c r="P680" s="86">
        <f>N680*1.5*((O680-K679)*500/2)</f>
        <v>23512.327545179964</v>
      </c>
      <c r="Q680" s="179" t="s">
        <v>80</v>
      </c>
      <c r="R680" s="179"/>
      <c r="S680" s="180">
        <f>D678+H679+L680+P681</f>
        <v>210546.77014933265</v>
      </c>
      <c r="T680" s="180"/>
    </row>
    <row r="681" spans="1:22" x14ac:dyDescent="0.25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9" t="s">
        <v>79</v>
      </c>
      <c r="P681" s="89">
        <f>SUM(P676:P680)</f>
        <v>23646.461415318197</v>
      </c>
      <c r="Q681" s="179"/>
      <c r="R681" s="179"/>
      <c r="S681" s="180"/>
      <c r="T681" s="180"/>
    </row>
    <row r="682" spans="1:22" x14ac:dyDescent="0.25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</row>
    <row r="683" spans="1:22" x14ac:dyDescent="0.25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</row>
    <row r="684" spans="1:22" x14ac:dyDescent="0.25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</row>
    <row r="685" spans="1:22" ht="24.75" thickBot="1" x14ac:dyDescent="0.3">
      <c r="O685" s="131" t="s">
        <v>81</v>
      </c>
      <c r="P685" s="131"/>
      <c r="Q685" s="131">
        <f>(R671+P671+M672+S680)/AC664</f>
        <v>1269.1342518513022</v>
      </c>
      <c r="R685" s="131"/>
    </row>
    <row r="686" spans="1:22" x14ac:dyDescent="0.25">
      <c r="A686" s="181" t="s">
        <v>123</v>
      </c>
      <c r="B686" s="182"/>
    </row>
    <row r="687" spans="1:22" ht="15.75" thickBot="1" x14ac:dyDescent="0.3">
      <c r="A687" s="183"/>
      <c r="B687" s="184"/>
    </row>
    <row r="688" spans="1:22" ht="21" x14ac:dyDescent="0.35">
      <c r="A688" s="185" t="s">
        <v>14</v>
      </c>
      <c r="B688" s="185"/>
      <c r="C688" s="165"/>
      <c r="D688" s="165"/>
      <c r="E688" s="165"/>
      <c r="F688" s="165"/>
      <c r="G688" s="165"/>
      <c r="H688" s="165"/>
      <c r="I688" s="165"/>
      <c r="J688" s="165"/>
      <c r="K688" s="165"/>
      <c r="L688" s="165"/>
      <c r="M688" s="165"/>
      <c r="O688" s="166" t="s">
        <v>72</v>
      </c>
      <c r="P688" s="166"/>
      <c r="Q688" s="166"/>
      <c r="R688" s="166"/>
      <c r="S688" s="166"/>
      <c r="T688" s="166"/>
      <c r="U688" s="166"/>
      <c r="V688" s="166"/>
    </row>
    <row r="689" spans="1:34" ht="36" x14ac:dyDescent="0.25">
      <c r="A689" s="4" t="s">
        <v>15</v>
      </c>
      <c r="B689" s="4" t="s">
        <v>16</v>
      </c>
      <c r="C689" s="4" t="s">
        <v>31</v>
      </c>
      <c r="D689" s="6" t="s">
        <v>17</v>
      </c>
      <c r="E689" s="6" t="s">
        <v>18</v>
      </c>
      <c r="F689" s="6" t="s">
        <v>19</v>
      </c>
      <c r="G689" s="6" t="s">
        <v>20</v>
      </c>
      <c r="H689" s="6" t="s">
        <v>21</v>
      </c>
      <c r="I689" s="6" t="s">
        <v>22</v>
      </c>
      <c r="J689" s="6" t="s">
        <v>23</v>
      </c>
      <c r="K689" s="6" t="s">
        <v>24</v>
      </c>
      <c r="L689" s="6" t="s">
        <v>25</v>
      </c>
      <c r="M689" s="6" t="s">
        <v>26</v>
      </c>
      <c r="N689" s="8"/>
      <c r="O689" s="167" t="s">
        <v>32</v>
      </c>
      <c r="P689" s="167" t="s">
        <v>35</v>
      </c>
      <c r="Q689" s="167" t="s">
        <v>66</v>
      </c>
      <c r="R689" s="99" t="s">
        <v>67</v>
      </c>
      <c r="S689" s="99" t="s">
        <v>68</v>
      </c>
      <c r="T689" s="167" t="s">
        <v>69</v>
      </c>
      <c r="U689" s="71" t="s">
        <v>33</v>
      </c>
      <c r="V689" s="99" t="s">
        <v>70</v>
      </c>
    </row>
    <row r="690" spans="1:34" x14ac:dyDescent="0.25">
      <c r="A690" s="3" t="s">
        <v>27</v>
      </c>
      <c r="B690" s="3">
        <v>0</v>
      </c>
      <c r="C690" s="3">
        <v>0.3</v>
      </c>
      <c r="D690" s="3">
        <v>243</v>
      </c>
      <c r="E690" s="3">
        <v>1.73</v>
      </c>
      <c r="F690" s="3">
        <v>5</v>
      </c>
      <c r="G690" s="169">
        <v>12</v>
      </c>
      <c r="H690" s="3">
        <v>1820</v>
      </c>
      <c r="I690" s="169">
        <v>19645</v>
      </c>
      <c r="J690" s="3">
        <v>20</v>
      </c>
      <c r="K690" s="3">
        <v>40</v>
      </c>
      <c r="L690" s="3">
        <v>500</v>
      </c>
      <c r="M690" s="3">
        <v>1000</v>
      </c>
      <c r="O690" s="168"/>
      <c r="P690" s="168"/>
      <c r="Q690" s="168"/>
      <c r="R690" s="72" t="s">
        <v>71</v>
      </c>
      <c r="S690" s="72" t="s">
        <v>71</v>
      </c>
      <c r="T690" s="168"/>
      <c r="U690" s="73">
        <v>500</v>
      </c>
      <c r="V690" s="3">
        <v>1.5</v>
      </c>
    </row>
    <row r="691" spans="1:34" x14ac:dyDescent="0.25">
      <c r="A691" s="3" t="s">
        <v>28</v>
      </c>
      <c r="B691" s="3">
        <v>0</v>
      </c>
      <c r="C691" s="3">
        <v>0.3</v>
      </c>
      <c r="D691" s="3">
        <v>254</v>
      </c>
      <c r="E691" s="3">
        <v>1.88</v>
      </c>
      <c r="F691" s="3">
        <v>3</v>
      </c>
      <c r="G691" s="170"/>
      <c r="H691" s="3">
        <v>2720</v>
      </c>
      <c r="I691" s="170"/>
      <c r="J691" s="5"/>
      <c r="K691" s="5"/>
      <c r="L691" s="5"/>
      <c r="M691" s="5"/>
      <c r="O691" s="74">
        <v>1</v>
      </c>
      <c r="P691" s="74">
        <v>106</v>
      </c>
      <c r="Q691" s="74">
        <v>110</v>
      </c>
      <c r="R691" s="74">
        <v>6</v>
      </c>
      <c r="S691" s="74">
        <v>5</v>
      </c>
      <c r="T691" s="74">
        <f>R691*$U$5/60+S691</f>
        <v>55</v>
      </c>
      <c r="U691" s="75"/>
    </row>
    <row r="692" spans="1:34" x14ac:dyDescent="0.25">
      <c r="A692" s="3" t="s">
        <v>29</v>
      </c>
      <c r="B692" s="3">
        <v>0</v>
      </c>
      <c r="C692" s="3">
        <v>0.3</v>
      </c>
      <c r="D692" s="3">
        <v>143</v>
      </c>
      <c r="E692" s="3">
        <v>2.4300000000000002</v>
      </c>
      <c r="F692" s="3">
        <v>8</v>
      </c>
      <c r="G692" s="170"/>
      <c r="H692" s="3">
        <v>3700</v>
      </c>
      <c r="I692" s="170"/>
      <c r="J692" s="5"/>
      <c r="K692" s="140" t="s">
        <v>73</v>
      </c>
      <c r="L692" s="141">
        <v>12</v>
      </c>
      <c r="M692" s="140" t="s">
        <v>74</v>
      </c>
      <c r="N692" s="141">
        <v>19645</v>
      </c>
      <c r="O692" s="74">
        <v>2</v>
      </c>
      <c r="P692" s="74">
        <v>76</v>
      </c>
      <c r="Q692" s="74">
        <v>40</v>
      </c>
      <c r="R692" s="74">
        <v>9</v>
      </c>
      <c r="S692" s="74">
        <v>2</v>
      </c>
      <c r="T692" s="74">
        <f t="shared" ref="T692:T694" si="72">R692*$U$5/60+S692</f>
        <v>77</v>
      </c>
      <c r="U692" s="75"/>
    </row>
    <row r="693" spans="1:34" x14ac:dyDescent="0.25">
      <c r="A693" s="3" t="s">
        <v>30</v>
      </c>
      <c r="B693" s="3">
        <v>0</v>
      </c>
      <c r="C693" s="3">
        <v>0.3</v>
      </c>
      <c r="D693" s="3">
        <v>449</v>
      </c>
      <c r="E693" s="3">
        <v>2.5299999999999998</v>
      </c>
      <c r="F693" s="3">
        <v>4</v>
      </c>
      <c r="G693" s="171"/>
      <c r="H693" s="3">
        <v>4320</v>
      </c>
      <c r="I693" s="171"/>
      <c r="J693" s="5"/>
      <c r="K693" s="140"/>
      <c r="L693" s="141"/>
      <c r="M693" s="140"/>
      <c r="N693" s="141"/>
      <c r="O693" s="74">
        <v>3</v>
      </c>
      <c r="P693" s="74">
        <v>95</v>
      </c>
      <c r="Q693" s="74">
        <v>67</v>
      </c>
      <c r="R693" s="74">
        <v>5</v>
      </c>
      <c r="S693" s="74">
        <v>4</v>
      </c>
      <c r="T693" s="74">
        <f t="shared" si="72"/>
        <v>45.666666666666664</v>
      </c>
      <c r="U693" s="75"/>
    </row>
    <row r="694" spans="1:34" ht="15.75" thickBo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O694" s="74">
        <v>4</v>
      </c>
      <c r="P694" s="74">
        <v>140</v>
      </c>
      <c r="Q694" s="94">
        <v>85</v>
      </c>
      <c r="R694" s="94">
        <v>8</v>
      </c>
      <c r="S694" s="94">
        <v>3</v>
      </c>
      <c r="T694" s="74">
        <f t="shared" si="72"/>
        <v>69.666666666666671</v>
      </c>
    </row>
    <row r="695" spans="1:34" ht="15" customHeight="1" x14ac:dyDescent="0.25">
      <c r="A695" s="172" t="s">
        <v>104</v>
      </c>
      <c r="B695" s="144" t="s">
        <v>105</v>
      </c>
      <c r="C695" s="144"/>
      <c r="D695" s="144"/>
      <c r="E695" s="144"/>
      <c r="F695" s="20" t="s">
        <v>27</v>
      </c>
      <c r="G695" s="20" t="s">
        <v>28</v>
      </c>
      <c r="H695" s="20" t="s">
        <v>29</v>
      </c>
      <c r="I695" s="20" t="s">
        <v>30</v>
      </c>
    </row>
    <row r="696" spans="1:34" ht="15.75" customHeight="1" thickBot="1" x14ac:dyDescent="0.3">
      <c r="A696" s="173"/>
      <c r="B696" s="145"/>
      <c r="C696" s="145"/>
      <c r="D696" s="145"/>
      <c r="E696" s="145"/>
      <c r="F696" s="20">
        <v>84</v>
      </c>
      <c r="G696" s="26">
        <v>84</v>
      </c>
      <c r="H696" s="26">
        <v>84</v>
      </c>
      <c r="I696" s="26">
        <v>252</v>
      </c>
    </row>
    <row r="697" spans="1:34" ht="15.75" customHeight="1" thickBot="1" x14ac:dyDescent="0.3">
      <c r="A697" s="173"/>
      <c r="B697" s="145"/>
      <c r="C697" s="145"/>
      <c r="D697" s="145"/>
      <c r="E697" s="145"/>
      <c r="F697" s="7"/>
      <c r="G697" s="146" t="s">
        <v>27</v>
      </c>
      <c r="H697" s="147"/>
      <c r="I697" s="147"/>
      <c r="J697" s="147"/>
      <c r="K697" s="148"/>
      <c r="L697" s="149" t="s">
        <v>28</v>
      </c>
      <c r="M697" s="150"/>
      <c r="N697" s="150"/>
      <c r="O697" s="150"/>
      <c r="P697" s="151"/>
      <c r="Q697" s="152" t="s">
        <v>29</v>
      </c>
      <c r="R697" s="153"/>
      <c r="S697" s="153"/>
      <c r="T697" s="153"/>
      <c r="U697" s="154"/>
      <c r="V697" s="155" t="s">
        <v>30</v>
      </c>
      <c r="W697" s="156"/>
      <c r="X697" s="156"/>
      <c r="Y697" s="156"/>
      <c r="Z697" s="157"/>
      <c r="AA697" s="158" t="s">
        <v>42</v>
      </c>
      <c r="AB697" s="159"/>
      <c r="AC697" s="160" t="s">
        <v>44</v>
      </c>
      <c r="AD697" s="162" t="s">
        <v>47</v>
      </c>
      <c r="AE697" s="163"/>
      <c r="AF697" s="163"/>
      <c r="AG697" s="164"/>
      <c r="AH697" s="138" t="s">
        <v>62</v>
      </c>
    </row>
    <row r="698" spans="1:34" ht="36.75" x14ac:dyDescent="0.25">
      <c r="A698" s="21" t="s">
        <v>32</v>
      </c>
      <c r="B698" s="22" t="s">
        <v>37</v>
      </c>
      <c r="C698" s="23" t="s">
        <v>33</v>
      </c>
      <c r="D698" s="22" t="s">
        <v>38</v>
      </c>
      <c r="E698" s="22" t="s">
        <v>34</v>
      </c>
      <c r="F698" s="25" t="s">
        <v>35</v>
      </c>
      <c r="G698" s="27" t="s">
        <v>39</v>
      </c>
      <c r="H698" s="10" t="s">
        <v>40</v>
      </c>
      <c r="I698" s="10" t="s">
        <v>45</v>
      </c>
      <c r="J698" s="10" t="s">
        <v>46</v>
      </c>
      <c r="K698" s="28" t="s">
        <v>41</v>
      </c>
      <c r="L698" s="30" t="s">
        <v>39</v>
      </c>
      <c r="M698" s="13" t="s">
        <v>40</v>
      </c>
      <c r="N698" s="13" t="s">
        <v>45</v>
      </c>
      <c r="O698" s="13" t="s">
        <v>46</v>
      </c>
      <c r="P698" s="31" t="s">
        <v>41</v>
      </c>
      <c r="Q698" s="33" t="s">
        <v>39</v>
      </c>
      <c r="R698" s="12" t="s">
        <v>40</v>
      </c>
      <c r="S698" s="12" t="s">
        <v>45</v>
      </c>
      <c r="T698" s="12" t="s">
        <v>46</v>
      </c>
      <c r="U698" s="34" t="s">
        <v>41</v>
      </c>
      <c r="V698" s="36" t="s">
        <v>39</v>
      </c>
      <c r="W698" s="11" t="s">
        <v>40</v>
      </c>
      <c r="X698" s="11" t="s">
        <v>45</v>
      </c>
      <c r="Y698" s="11" t="s">
        <v>46</v>
      </c>
      <c r="Z698" s="37" t="s">
        <v>41</v>
      </c>
      <c r="AA698" s="39" t="s">
        <v>41</v>
      </c>
      <c r="AB698" s="40" t="s">
        <v>43</v>
      </c>
      <c r="AC698" s="161"/>
      <c r="AD698" s="43" t="s">
        <v>27</v>
      </c>
      <c r="AE698" s="1" t="s">
        <v>28</v>
      </c>
      <c r="AF698" s="1" t="s">
        <v>29</v>
      </c>
      <c r="AG698" s="1" t="s">
        <v>30</v>
      </c>
      <c r="AH698" s="139"/>
    </row>
    <row r="699" spans="1:34" x14ac:dyDescent="0.25">
      <c r="A699" s="24">
        <v>4</v>
      </c>
      <c r="B699" s="9">
        <v>8</v>
      </c>
      <c r="C699" s="9">
        <v>500</v>
      </c>
      <c r="D699" s="9">
        <v>3</v>
      </c>
      <c r="E699" s="48">
        <f>B699*C699/60+D699</f>
        <v>69.666666666666671</v>
      </c>
      <c r="F699" s="100">
        <v>140</v>
      </c>
      <c r="G699" s="49">
        <f>B$5*(1-AD699*C$5)</f>
        <v>0</v>
      </c>
      <c r="H699" s="50">
        <f>G699+E699</f>
        <v>69.666666666666671</v>
      </c>
      <c r="I699" s="15">
        <f>(H699/D$5)^E$5</f>
        <v>0.11516869637804684</v>
      </c>
      <c r="J699" s="15">
        <f>(G699/D$5)^E$5</f>
        <v>0</v>
      </c>
      <c r="K699" s="29">
        <f>1-EXP(J699-I699)</f>
        <v>0.10878421365041502</v>
      </c>
      <c r="L699" s="51">
        <f>B$6*(1-AE699*C$6)</f>
        <v>0</v>
      </c>
      <c r="M699" s="52">
        <f>L699+E699</f>
        <v>69.666666666666671</v>
      </c>
      <c r="N699" s="17">
        <f>(M699/D$6)^E$6</f>
        <v>8.7861714115895329E-2</v>
      </c>
      <c r="O699" s="17">
        <f>(L699/D$6)^E$6</f>
        <v>0</v>
      </c>
      <c r="P699" s="32">
        <f>1-EXP(O699-N699)</f>
        <v>8.4112477717763534E-2</v>
      </c>
      <c r="Q699" s="53">
        <f>B$7*(1-AF699*C$7)</f>
        <v>0</v>
      </c>
      <c r="R699" s="54">
        <f>Q699+E699</f>
        <v>69.666666666666671</v>
      </c>
      <c r="S699" s="16">
        <f>(R699/D$7)^E$7</f>
        <v>0.17421448251746105</v>
      </c>
      <c r="T699" s="16">
        <f>(Q699/D$7)^E$7</f>
        <v>0</v>
      </c>
      <c r="U699" s="35">
        <f>1-EXP(T699-S699)</f>
        <v>0.15988331200899064</v>
      </c>
      <c r="V699" s="55">
        <f>B$8*(1-AG699*C$8)</f>
        <v>0</v>
      </c>
      <c r="W699" s="56">
        <f>V699+E699</f>
        <v>69.666666666666671</v>
      </c>
      <c r="X699" s="18">
        <f>(W699/D$8)^E$8</f>
        <v>8.9674731846197935E-3</v>
      </c>
      <c r="Y699" s="18">
        <f>(V699/D$8)^E$8</f>
        <v>0</v>
      </c>
      <c r="Z699" s="38">
        <f>1-EXP(Y699-X699)</f>
        <v>8.9273853154187011E-3</v>
      </c>
      <c r="AA699" s="41">
        <f>K699*P699*U699*Z699</f>
        <v>1.3060317021926209E-5</v>
      </c>
      <c r="AB699" s="42">
        <f>1-AA699</f>
        <v>0.99998693968297803</v>
      </c>
      <c r="AC699" s="47">
        <f>(AD699*F$5+AE699*F$6+AF699*F$7+AG699*F$8)+E699</f>
        <v>69.666666666666671</v>
      </c>
      <c r="AD699" s="43">
        <v>0</v>
      </c>
      <c r="AE699" s="1">
        <v>0</v>
      </c>
      <c r="AF699" s="1">
        <v>0</v>
      </c>
      <c r="AG699" s="1">
        <v>0</v>
      </c>
      <c r="AH699" s="74">
        <v>85</v>
      </c>
    </row>
    <row r="700" spans="1:34" x14ac:dyDescent="0.25">
      <c r="A700" s="76">
        <v>1</v>
      </c>
      <c r="B700" s="58">
        <v>6</v>
      </c>
      <c r="C700" s="9">
        <v>500</v>
      </c>
      <c r="D700" s="58">
        <v>5</v>
      </c>
      <c r="E700" s="48">
        <f t="shared" ref="E700:E702" si="73">B700*C700/60+D700</f>
        <v>55</v>
      </c>
      <c r="F700" s="100">
        <v>106</v>
      </c>
      <c r="G700" s="49">
        <f>H699*(1-AD700*C$5)</f>
        <v>69.666666666666671</v>
      </c>
      <c r="H700" s="50">
        <f>G700+E700</f>
        <v>124.66666666666667</v>
      </c>
      <c r="I700" s="15">
        <f>(H700/D$5)^E$5</f>
        <v>0.31517317577772647</v>
      </c>
      <c r="J700" s="15">
        <f>(G700/D$5)^E$5</f>
        <v>0.11516869637804684</v>
      </c>
      <c r="K700" s="29">
        <f>1-EXP(J700-I700)</f>
        <v>0.18127291433607728</v>
      </c>
      <c r="L700" s="51">
        <f>M699*(1-AE700*C$6)</f>
        <v>69.666666666666671</v>
      </c>
      <c r="M700" s="52">
        <f>L700+E700</f>
        <v>124.66666666666667</v>
      </c>
      <c r="N700" s="17">
        <f>(M700/D$6)^E$6</f>
        <v>0.26237549202961352</v>
      </c>
      <c r="O700" s="17">
        <f>(L700/D$6)^E$6</f>
        <v>8.7861714115895329E-2</v>
      </c>
      <c r="P700" s="32">
        <f>1-EXP(O700-N700)</f>
        <v>0.16013471744190411</v>
      </c>
      <c r="Q700" s="53">
        <f>R699*(1-AF700*C$7)</f>
        <v>69.666666666666671</v>
      </c>
      <c r="R700" s="54">
        <f>Q700+E700</f>
        <v>124.66666666666667</v>
      </c>
      <c r="S700" s="16">
        <f>(R700/D$7)^E$7</f>
        <v>0.71648445673009076</v>
      </c>
      <c r="T700" s="16">
        <f>(Q700/D$7)^E$7</f>
        <v>0.17421448251746105</v>
      </c>
      <c r="U700" s="35">
        <f>1-EXP(T700-S700)</f>
        <v>0.41857307087912443</v>
      </c>
      <c r="V700" s="55">
        <f>W699*(1-AG700*C$8)</f>
        <v>69.666666666666671</v>
      </c>
      <c r="W700" s="56">
        <f>V700+E700</f>
        <v>124.66666666666667</v>
      </c>
      <c r="X700" s="18">
        <f>(W700/D$8)^E$8</f>
        <v>3.9089951931753103E-2</v>
      </c>
      <c r="Y700" s="18">
        <f>(V700/D$8)^E$8</f>
        <v>8.9674731846197935E-3</v>
      </c>
      <c r="Z700" s="38">
        <f>1-EXP(Y700-X700)</f>
        <v>2.967331812605134E-2</v>
      </c>
      <c r="AA700" s="41">
        <f>K700*P700*U700*Z700</f>
        <v>3.6054195704698238E-4</v>
      </c>
      <c r="AB700" s="42">
        <f>1-AA700</f>
        <v>0.99963945804295307</v>
      </c>
      <c r="AC700" s="47">
        <f>AF700*F$7+E700+AC699</f>
        <v>124.66666666666667</v>
      </c>
      <c r="AD700" s="43">
        <v>0</v>
      </c>
      <c r="AE700" s="1">
        <v>0</v>
      </c>
      <c r="AF700" s="1">
        <v>0</v>
      </c>
      <c r="AG700" s="1">
        <v>0</v>
      </c>
      <c r="AH700" s="74">
        <v>110</v>
      </c>
    </row>
    <row r="701" spans="1:34" x14ac:dyDescent="0.25">
      <c r="A701" s="24">
        <v>2</v>
      </c>
      <c r="B701" s="9">
        <v>9</v>
      </c>
      <c r="C701" s="58">
        <v>500</v>
      </c>
      <c r="D701" s="58">
        <v>2</v>
      </c>
      <c r="E701" s="48">
        <f t="shared" si="73"/>
        <v>77</v>
      </c>
      <c r="F701" s="100">
        <v>76</v>
      </c>
      <c r="G701" s="68">
        <f>H700*(1-AD701*C$5)</f>
        <v>87.266666666666666</v>
      </c>
      <c r="H701" s="69">
        <f>G701+E701</f>
        <v>164.26666666666665</v>
      </c>
      <c r="I701" s="70">
        <f>(H701/D$5)^E$5</f>
        <v>0.50792745169025055</v>
      </c>
      <c r="J701" s="70">
        <f>(G701/D$5)^E$5</f>
        <v>0.17004695403506842</v>
      </c>
      <c r="K701" s="29">
        <f>1-EXP(J701-I701)</f>
        <v>0.28671947849979462</v>
      </c>
      <c r="L701" s="51">
        <f>M700*(1-AE701*C$6)</f>
        <v>87.266666666666666</v>
      </c>
      <c r="M701" s="52">
        <f>L701+E701</f>
        <v>164.26666666666665</v>
      </c>
      <c r="N701" s="17">
        <f>(M701/D$6)^E$6</f>
        <v>0.4407025549284625</v>
      </c>
      <c r="O701" s="17">
        <f>(L701/D$6)^E$6</f>
        <v>0.13418611561976262</v>
      </c>
      <c r="P701" s="32">
        <f>1-EXP(O701-N701)</f>
        <v>0.26399358135681483</v>
      </c>
      <c r="Q701" s="53">
        <f>R700*(1-AF701*C$7)</f>
        <v>87.266666666666666</v>
      </c>
      <c r="R701" s="54">
        <f>Q701+E701</f>
        <v>164.26666666666665</v>
      </c>
      <c r="S701" s="16">
        <f>(R701/D$7)^E$7</f>
        <v>1.400614373673216</v>
      </c>
      <c r="T701" s="16">
        <f>(Q701/D$7)^E$7</f>
        <v>0.30115842040528412</v>
      </c>
      <c r="U701" s="35">
        <f>1-EXP(T701-S701)</f>
        <v>0.66694776960496838</v>
      </c>
      <c r="V701" s="55">
        <f>W700*(1-AG701*C$8)</f>
        <v>124.66666666666667</v>
      </c>
      <c r="W701" s="56">
        <f>V701+E701</f>
        <v>201.66666666666669</v>
      </c>
      <c r="X701" s="18">
        <f>(W701/D$8)^E$8</f>
        <v>0.13199001575183039</v>
      </c>
      <c r="Y701" s="18">
        <f>(V701/D$8)^E$8</f>
        <v>3.9089951931753103E-2</v>
      </c>
      <c r="Z701" s="38">
        <f>1-EXP(Y701-X701)</f>
        <v>8.8715433955963707E-2</v>
      </c>
      <c r="AA701" s="41">
        <f>K701*P701*U701*Z701</f>
        <v>4.4785927382131208E-3</v>
      </c>
      <c r="AB701" s="42">
        <f>1-AA701</f>
        <v>0.99552140726178684</v>
      </c>
      <c r="AC701" s="47">
        <f>(AF701*F$7)+E701+AC700</f>
        <v>209.66666666666669</v>
      </c>
      <c r="AD701" s="77">
        <v>1</v>
      </c>
      <c r="AE701" s="78">
        <v>1</v>
      </c>
      <c r="AF701" s="78">
        <v>1</v>
      </c>
      <c r="AG701" s="78">
        <v>0</v>
      </c>
      <c r="AH701" s="74">
        <v>40</v>
      </c>
    </row>
    <row r="702" spans="1:34" ht="15.75" thickBot="1" x14ac:dyDescent="0.3">
      <c r="A702" s="57">
        <v>3</v>
      </c>
      <c r="B702" s="58">
        <v>5</v>
      </c>
      <c r="C702" s="58">
        <v>500</v>
      </c>
      <c r="D702" s="9">
        <v>4</v>
      </c>
      <c r="E702" s="48">
        <f t="shared" si="73"/>
        <v>45.666666666666664</v>
      </c>
      <c r="F702" s="100">
        <v>95</v>
      </c>
      <c r="G702" s="68">
        <f>H701*(1-AD702*C$5)</f>
        <v>114.98666666666665</v>
      </c>
      <c r="H702" s="69">
        <f>G702+E702</f>
        <v>160.65333333333331</v>
      </c>
      <c r="I702" s="70">
        <f>(H702/D$5)^E$5</f>
        <v>0.48875408312881768</v>
      </c>
      <c r="J702" s="70">
        <f>(G702/D$5)^E$5</f>
        <v>0.27404462901257293</v>
      </c>
      <c r="K702" s="29">
        <f>1-EXP(J702-I702)</f>
        <v>0.19322418848098599</v>
      </c>
      <c r="L702" s="51">
        <f>M701*(1-AE702*C$6)</f>
        <v>114.98666666666665</v>
      </c>
      <c r="M702" s="52">
        <f>L702+E702</f>
        <v>160.65333333333331</v>
      </c>
      <c r="N702" s="17">
        <f>(M702/D$6)^E$6</f>
        <v>0.42265433313983669</v>
      </c>
      <c r="O702" s="17">
        <f>(L702/D$6)^E$6</f>
        <v>0.22538752965113423</v>
      </c>
      <c r="P702" s="32">
        <f>1-EXP(O702-N702)</f>
        <v>0.17902843398794011</v>
      </c>
      <c r="Q702" s="53">
        <f>R701*(1-AF702*C$7)</f>
        <v>114.98666666666665</v>
      </c>
      <c r="R702" s="54">
        <f>Q702+E702</f>
        <v>160.65333333333331</v>
      </c>
      <c r="S702" s="16">
        <f>(R702/D$7)^E$7</f>
        <v>1.3269223205942826</v>
      </c>
      <c r="T702" s="16">
        <f>(Q702/D$7)^E$7</f>
        <v>0.58871732444471214</v>
      </c>
      <c r="U702" s="35">
        <f>1-EXP(T702-S702)</f>
        <v>0.52202889406362218</v>
      </c>
      <c r="V702" s="55">
        <f>W701*(1-AG702*C$8)</f>
        <v>201.66666666666669</v>
      </c>
      <c r="W702" s="56">
        <f>V702+E702</f>
        <v>247.33333333333334</v>
      </c>
      <c r="X702" s="18">
        <f>(W702/D$8)^E$8</f>
        <v>0.22121871391987213</v>
      </c>
      <c r="Y702" s="18">
        <f>(V702/D$8)^E$8</f>
        <v>0.13199001575183039</v>
      </c>
      <c r="Z702" s="38">
        <f>1-EXP(Y702-X702)</f>
        <v>8.5363626009572924E-2</v>
      </c>
      <c r="AA702" s="41">
        <f>K702*P702*U702*Z702</f>
        <v>1.541526165993999E-3</v>
      </c>
      <c r="AB702" s="42">
        <f>1-AA702</f>
        <v>0.99845847383400599</v>
      </c>
      <c r="AC702" s="47">
        <f>(AF702*F$7)+E702+AC701</f>
        <v>263.33333333333337</v>
      </c>
      <c r="AD702" s="80">
        <v>1</v>
      </c>
      <c r="AE702" s="45">
        <v>1</v>
      </c>
      <c r="AF702" s="81">
        <v>1</v>
      </c>
      <c r="AG702" s="45">
        <v>0</v>
      </c>
      <c r="AH702" s="94">
        <v>67</v>
      </c>
    </row>
    <row r="703" spans="1:34" ht="18.75" x14ac:dyDescent="0.3">
      <c r="A703" s="132" t="s">
        <v>53</v>
      </c>
      <c r="B703" s="132"/>
      <c r="C703" s="132"/>
      <c r="D703" s="132"/>
      <c r="E703" s="132"/>
      <c r="F703" s="132"/>
      <c r="G703" s="132"/>
      <c r="H703" s="132"/>
      <c r="I703" s="132"/>
      <c r="J703" s="132"/>
      <c r="AG703" s="46"/>
    </row>
    <row r="704" spans="1:34" ht="15.75" x14ac:dyDescent="0.25">
      <c r="A704" s="19" t="s">
        <v>82</v>
      </c>
      <c r="B704" s="60" t="s">
        <v>49</v>
      </c>
      <c r="C704" s="61" t="s">
        <v>50</v>
      </c>
      <c r="D704" s="19" t="s">
        <v>58</v>
      </c>
      <c r="E704" s="60" t="s">
        <v>57</v>
      </c>
      <c r="F704" s="61" t="s">
        <v>50</v>
      </c>
      <c r="G704" s="19" t="s">
        <v>48</v>
      </c>
      <c r="H704" s="60" t="s">
        <v>61</v>
      </c>
      <c r="I704" s="61" t="s">
        <v>50</v>
      </c>
      <c r="J704" s="19" t="s">
        <v>54</v>
      </c>
      <c r="K704" s="83" t="s">
        <v>84</v>
      </c>
      <c r="L704" s="61" t="s">
        <v>50</v>
      </c>
      <c r="M704" s="61" t="s">
        <v>85</v>
      </c>
      <c r="O704" s="174" t="s">
        <v>64</v>
      </c>
      <c r="P704" s="174"/>
      <c r="Q704" s="175" t="s">
        <v>109</v>
      </c>
      <c r="R704" s="175"/>
    </row>
    <row r="705" spans="1:20" ht="24.75" x14ac:dyDescent="0.25">
      <c r="A705" s="61" t="s">
        <v>51</v>
      </c>
      <c r="B705" s="1">
        <f>AA699</f>
        <v>1.3060317021926209E-5</v>
      </c>
      <c r="C705" s="59">
        <f>MAX(AC699+1*L692-F699,0)</f>
        <v>0</v>
      </c>
      <c r="D705" s="62" t="s">
        <v>55</v>
      </c>
      <c r="E705" s="1">
        <f>AA699*AA700</f>
        <v>4.7087922587392923E-9</v>
      </c>
      <c r="F705" s="1">
        <f>MAX(AC700+2*L692-F700,0)</f>
        <v>42.666666666666686</v>
      </c>
      <c r="G705" s="62" t="s">
        <v>59</v>
      </c>
      <c r="H705" s="1">
        <f>AA699*AA700*AA701</f>
        <v>2.1088762815743953E-11</v>
      </c>
      <c r="I705" s="1">
        <f>AC701+3*L692-F701</f>
        <v>169.66666666666669</v>
      </c>
      <c r="J705" s="62" t="s">
        <v>83</v>
      </c>
      <c r="K705" s="1">
        <f>AA699*AA700*AA701*AA702</f>
        <v>3.2508879688910586E-14</v>
      </c>
      <c r="L705" s="1">
        <f>AC702+4*L692-F702</f>
        <v>216.33333333333337</v>
      </c>
      <c r="M705" s="1">
        <f>B705*C705*AH699+E705*F705*AH700+H705*I705*AH701+K705*L705*AH702</f>
        <v>2.2243525265864441E-5</v>
      </c>
      <c r="O705" s="1" t="s">
        <v>27</v>
      </c>
      <c r="P705" s="1">
        <f>2*H690</f>
        <v>3640</v>
      </c>
      <c r="Q705" s="1">
        <f>(K699*(1-P699)*(1-U699)*(1-Z699))+(P699*(1-K699)*(1-U699)*(1-Z699))+(U699*(1-K699)*(1-P699)*(1-Z699))+(Z699*(1-K699)*(1-P699)*(1-U699))</f>
        <v>0.28083409477630866</v>
      </c>
      <c r="R705" s="1">
        <f>Q705*(L$7*(J$5*K$5+L$5)+I$5)</f>
        <v>9897.9976703909997</v>
      </c>
    </row>
    <row r="706" spans="1:20" ht="24.75" x14ac:dyDescent="0.25">
      <c r="A706" s="62" t="s">
        <v>52</v>
      </c>
      <c r="B706" s="1">
        <f>AB699</f>
        <v>0.99998693968297803</v>
      </c>
      <c r="C706" s="59">
        <f>MAX(AC699-F699,0)</f>
        <v>0</v>
      </c>
      <c r="D706" s="62" t="s">
        <v>56</v>
      </c>
      <c r="E706" s="1">
        <f>AA699*AB700+AA700*AB699</f>
        <v>3.7359285648439107E-4</v>
      </c>
      <c r="F706" s="1">
        <f>MAX(AC700+1*L692-F700,0)</f>
        <v>30.666666666666686</v>
      </c>
      <c r="G706" s="62" t="s">
        <v>60</v>
      </c>
      <c r="H706" s="1">
        <f>AA699*AA700*AB701+AA700*AA701*AB699+AA699*AA701*AB700</f>
        <v>1.6778579575952142E-6</v>
      </c>
      <c r="I706" s="1">
        <f>AC701+2*L692-F701</f>
        <v>157.66666666666669</v>
      </c>
      <c r="J706" s="62" t="s">
        <v>59</v>
      </c>
      <c r="K706">
        <f>AB699*AA700*AA701*AA702+AB700*AA699*AA701*AA702*+AB701*AA699*AA700*AA702+AB702*AA699*AA700*AA701</f>
        <v>2.5101577863159938E-9</v>
      </c>
      <c r="L706" s="1">
        <f>AC702+3*L692-F702</f>
        <v>204.33333333333337</v>
      </c>
      <c r="M706" s="1">
        <f>B706*C706*AH699+E706*F706*AH700+H706*I706*AH701+K706*L706*AH702</f>
        <v>1.2708692916233943</v>
      </c>
      <c r="O706" s="1" t="s">
        <v>28</v>
      </c>
      <c r="P706" s="1">
        <f>2*H691</f>
        <v>5440</v>
      </c>
      <c r="Q706" s="1">
        <f t="shared" ref="Q706:Q708" si="74">(K700*(1-P700)*(1-U700)*(1-Z700))+(P700*(1-K700)*(1-U700)*(1-Z700))+(U700*(1-K700)*(1-P700)*(1-Z700))+(Z700*(1-K700)*(1-P700)*(1-U700))</f>
        <v>0.45100181571012737</v>
      </c>
      <c r="R706" s="1">
        <f t="shared" ref="R706:R708" si="75">Q706*(L$7*(J$5*K$5+L$5)+I$5)</f>
        <v>15895.558994703439</v>
      </c>
    </row>
    <row r="707" spans="1:20" ht="24.75" x14ac:dyDescent="0.25">
      <c r="A707" s="1"/>
      <c r="B707" s="1"/>
      <c r="C707" s="1"/>
      <c r="D707" s="62" t="s">
        <v>52</v>
      </c>
      <c r="E707" s="1">
        <f>AB699*AB700</f>
        <v>0.99962640243472334</v>
      </c>
      <c r="F707" s="59">
        <f>MAX(AC700-F700,0)</f>
        <v>18.666666666666671</v>
      </c>
      <c r="G707" s="62" t="s">
        <v>56</v>
      </c>
      <c r="H707" s="1">
        <f>AA699*AB700*AB701+AA700*AB699*AB701*+AA701*AB699*AB700</f>
        <v>1.4604004851781184E-5</v>
      </c>
      <c r="I707" s="1">
        <f>AC701+1*L692-F701</f>
        <v>145.66666666666669</v>
      </c>
      <c r="J707" s="62" t="s">
        <v>60</v>
      </c>
      <c r="K707" s="1">
        <f>AA699*AA700*AB701*AB702 + AA699*AA701*AB700*AB702 + AA699*AA702*AB700*AB701 + AA700*AA701*AB699*AB702 + AA700*AA702*AB699*AB701 + AA701*AA702*AB699*AB700</f>
        <v>9.1498840481735333E-6</v>
      </c>
      <c r="L707" s="1">
        <f>AC702+2*L692-F702</f>
        <v>192.33333333333337</v>
      </c>
      <c r="M707" s="1">
        <f>B707*C707*AH699+E707*F707*AH700+H707*I707*AH701+K707*L707*AH702</f>
        <v>2052.7692141233751</v>
      </c>
      <c r="O707" s="1" t="s">
        <v>29</v>
      </c>
      <c r="P707" s="1">
        <f>2*(F692*(J690*K690+L690)+H692)</f>
        <v>28200</v>
      </c>
      <c r="Q707" s="1">
        <f t="shared" si="74"/>
        <v>0.45578128308848048</v>
      </c>
      <c r="R707" s="1">
        <f t="shared" si="75"/>
        <v>16064.011322453494</v>
      </c>
    </row>
    <row r="708" spans="1:20" ht="24.75" x14ac:dyDescent="0.25">
      <c r="A708" s="1"/>
      <c r="B708" s="1"/>
      <c r="C708" s="1"/>
      <c r="D708" s="1"/>
      <c r="E708" s="1"/>
      <c r="F708" s="1"/>
      <c r="G708" s="62" t="s">
        <v>52</v>
      </c>
      <c r="H708" s="1">
        <f>AB699*AB700*AB701</f>
        <v>0.99514948288785299</v>
      </c>
      <c r="I708" s="63">
        <f>AC701-F701</f>
        <v>133.66666666666669</v>
      </c>
      <c r="J708" s="62" t="s">
        <v>56</v>
      </c>
      <c r="K708" s="1">
        <f>AA699*AB700*AB701*AB702+AA700*AB699*AB701*AB702+AA701*AB699*AB700*AB702+AA702*AB699*AB700*AB701</f>
        <v>6.3754135874950517E-3</v>
      </c>
      <c r="L708" s="1">
        <f>AC702+1*L692-F702</f>
        <v>180.33333333333337</v>
      </c>
      <c r="M708" s="1">
        <f>B708*C708*AH699+E708*F708*AH700+H708*I708*AH701+K708*L708*AH702</f>
        <v>5397.7624406090326</v>
      </c>
      <c r="O708" s="1" t="s">
        <v>30</v>
      </c>
      <c r="P708" s="1">
        <v>0</v>
      </c>
      <c r="Q708" s="1">
        <f t="shared" si="74"/>
        <v>0.47576149358861353</v>
      </c>
      <c r="R708" s="1">
        <f t="shared" si="75"/>
        <v>16768.213841530684</v>
      </c>
    </row>
    <row r="709" spans="1:20" ht="30" x14ac:dyDescent="0.25">
      <c r="I709" s="84"/>
      <c r="J709" s="62" t="s">
        <v>52</v>
      </c>
      <c r="K709" s="85">
        <f>AB699*AB700*AB701*AB702</f>
        <v>0.9936154339209059</v>
      </c>
      <c r="L709" s="1">
        <f>AC702+0*L692-F702</f>
        <v>168.33333333333337</v>
      </c>
      <c r="M709" s="1">
        <f>B709*C709*AH699+E709*F709*AH700+H709*I709*AH701+K709*L709*AH702</f>
        <v>11206.326068904618</v>
      </c>
      <c r="O709" s="64" t="s">
        <v>65</v>
      </c>
      <c r="P709" s="65">
        <f>SUM(P705:P708)</f>
        <v>37280</v>
      </c>
      <c r="Q709" s="96" t="s">
        <v>108</v>
      </c>
      <c r="R709" s="97">
        <f>SUM(R705:R708)</f>
        <v>58625.781829078616</v>
      </c>
    </row>
    <row r="710" spans="1:20" x14ac:dyDescent="0.25">
      <c r="L710" s="176" t="s">
        <v>63</v>
      </c>
      <c r="M710" s="177">
        <f>SUM(M705:M709)</f>
        <v>18658.128615172172</v>
      </c>
    </row>
    <row r="711" spans="1:20" x14ac:dyDescent="0.25">
      <c r="L711" s="176"/>
      <c r="M711" s="177"/>
    </row>
    <row r="712" spans="1:20" x14ac:dyDescent="0.25">
      <c r="A712" s="178" t="s">
        <v>90</v>
      </c>
      <c r="B712" s="178"/>
      <c r="C712" s="178"/>
      <c r="D712" s="178"/>
      <c r="E712" s="178"/>
      <c r="F712" s="178"/>
      <c r="G712" s="178"/>
      <c r="H712" s="178"/>
      <c r="I712" s="178"/>
      <c r="J712" s="178"/>
      <c r="K712" s="178"/>
      <c r="L712" s="178"/>
      <c r="M712" s="178"/>
      <c r="N712" s="178"/>
    </row>
    <row r="713" spans="1:20" ht="15.75" x14ac:dyDescent="0.25">
      <c r="A713" s="87" t="s">
        <v>86</v>
      </c>
      <c r="B713" s="62" t="s">
        <v>49</v>
      </c>
      <c r="C713" s="90" t="s">
        <v>103</v>
      </c>
      <c r="D713" s="62" t="s">
        <v>88</v>
      </c>
      <c r="E713" s="87" t="s">
        <v>77</v>
      </c>
      <c r="F713" s="62" t="s">
        <v>57</v>
      </c>
      <c r="G713" s="90" t="s">
        <v>78</v>
      </c>
      <c r="H713" s="62" t="s">
        <v>88</v>
      </c>
      <c r="I713" s="87" t="s">
        <v>75</v>
      </c>
      <c r="J713" s="62" t="s">
        <v>61</v>
      </c>
      <c r="K713" s="90" t="s">
        <v>87</v>
      </c>
      <c r="L713" s="62" t="s">
        <v>88</v>
      </c>
      <c r="M713" s="87" t="s">
        <v>76</v>
      </c>
      <c r="N713" s="62" t="s">
        <v>84</v>
      </c>
      <c r="O713" s="90" t="s">
        <v>102</v>
      </c>
      <c r="P713" s="62" t="s">
        <v>88</v>
      </c>
    </row>
    <row r="714" spans="1:20" ht="24.75" x14ac:dyDescent="0.25">
      <c r="A714" s="62" t="s">
        <v>51</v>
      </c>
      <c r="B714" s="86">
        <v>1.3060317021926209E-5</v>
      </c>
      <c r="C714" s="86">
        <f>AC699+1*L692</f>
        <v>81.666666666666671</v>
      </c>
      <c r="D714" s="86">
        <f>MAX(B714*1.5*((C714-F699)*500/2),0)</f>
        <v>0</v>
      </c>
      <c r="E714" s="62" t="s">
        <v>55</v>
      </c>
      <c r="F714" s="86">
        <v>4.7087922587392923E-9</v>
      </c>
      <c r="G714" s="86">
        <f>AC700+2*L692</f>
        <v>148.66666666666669</v>
      </c>
      <c r="H714" s="86">
        <f>F714*1.5*((G714-F700)*500/2+(G714-F701)*500+(G714-F702)*500)</f>
        <v>5.2149874265537677E-4</v>
      </c>
      <c r="I714" s="62" t="s">
        <v>59</v>
      </c>
      <c r="J714" s="86">
        <v>2.1088762815743953E-11</v>
      </c>
      <c r="K714" s="86">
        <f>AC701+3*L692</f>
        <v>245.66666666666669</v>
      </c>
      <c r="L714" s="86">
        <f>J714*1.5*((K714-G714)*500/2+(K714-G714)*500)</f>
        <v>2.3013112422680586E-6</v>
      </c>
      <c r="M714" s="62" t="s">
        <v>83</v>
      </c>
      <c r="N714" s="86">
        <v>3.2508879688910586E-14</v>
      </c>
      <c r="O714" s="86">
        <f>AC702+4*L692</f>
        <v>311.33333333333337</v>
      </c>
      <c r="P714" s="86">
        <f>N714*1.5*((O714-K714)*500/2)</f>
        <v>8.0053116233942344E-10</v>
      </c>
    </row>
    <row r="715" spans="1:20" ht="24.75" x14ac:dyDescent="0.25">
      <c r="A715" s="62" t="s">
        <v>52</v>
      </c>
      <c r="B715" s="86">
        <v>0.99998693968297803</v>
      </c>
      <c r="C715" s="88">
        <f>AC699</f>
        <v>69.666666666666671</v>
      </c>
      <c r="D715" s="86">
        <f>MAX(B715*1.5*((C715-F699)*500/2),0)</f>
        <v>0</v>
      </c>
      <c r="E715" s="62" t="s">
        <v>56</v>
      </c>
      <c r="F715" s="86">
        <v>3.7359285648439107E-4</v>
      </c>
      <c r="G715" s="86">
        <f>AC700+1*L692</f>
        <v>136.66666666666669</v>
      </c>
      <c r="H715" s="86">
        <f>F715*1.5*((G715-F700)*500/2+(G715-F701)*500+(G715-F702)*500)</f>
        <v>32.969569584747525</v>
      </c>
      <c r="I715" s="62" t="s">
        <v>60</v>
      </c>
      <c r="J715" s="86">
        <v>1.6778579575952142E-6</v>
      </c>
      <c r="K715" s="86">
        <f>AC701+2*L692</f>
        <v>233.66666666666669</v>
      </c>
      <c r="L715" s="86">
        <f>J715*1.5*((K715-G715)*500/2+(K715-G715)*500)</f>
        <v>0.18309624962257773</v>
      </c>
      <c r="M715" s="62" t="s">
        <v>59</v>
      </c>
      <c r="N715" s="86">
        <v>2.5101577863159938E-9</v>
      </c>
      <c r="O715" s="86">
        <f>AC702+3*L692</f>
        <v>299.33333333333337</v>
      </c>
      <c r="P715" s="86">
        <f>N715*1.5*((O715-K715)*500/2)</f>
        <v>6.1812635488031362E-5</v>
      </c>
    </row>
    <row r="716" spans="1:20" x14ac:dyDescent="0.25">
      <c r="A716" s="86"/>
      <c r="B716" s="86"/>
      <c r="C716" s="89" t="s">
        <v>89</v>
      </c>
      <c r="D716" s="89">
        <f>SUM(D714:D715)</f>
        <v>0</v>
      </c>
      <c r="E716" s="62" t="s">
        <v>52</v>
      </c>
      <c r="F716" s="86">
        <v>0.99962640243472334</v>
      </c>
      <c r="G716" s="86">
        <f>AC700+0*L692</f>
        <v>124.66666666666667</v>
      </c>
      <c r="H716" s="86">
        <f>F716*1.5*((G716-F700)*500/2+(G716-F701)*500+(G716-F702)*500)</f>
        <v>65725.435960083065</v>
      </c>
      <c r="I716" s="62" t="s">
        <v>56</v>
      </c>
      <c r="J716" s="86">
        <v>1.4604004851781184E-5</v>
      </c>
      <c r="K716" s="86">
        <f>AC701+1*L692</f>
        <v>221.66666666666669</v>
      </c>
      <c r="L716" s="86">
        <f>J716*1.5*((K716-G716)*500/2+(K716-G716)*500)</f>
        <v>1.5936620294506219</v>
      </c>
      <c r="M716" s="62" t="s">
        <v>60</v>
      </c>
      <c r="N716" s="86">
        <v>9.1498840481735333E-6</v>
      </c>
      <c r="O716" s="86">
        <f>AC702+2*L692</f>
        <v>287.33333333333337</v>
      </c>
      <c r="P716" s="86">
        <f>N716*1.5*((O716-K716)*500/2)</f>
        <v>0.22531589468627333</v>
      </c>
    </row>
    <row r="717" spans="1:20" x14ac:dyDescent="0.25">
      <c r="A717" s="86"/>
      <c r="B717" s="86"/>
      <c r="C717" s="86"/>
      <c r="D717" s="86"/>
      <c r="E717" s="86"/>
      <c r="F717" s="86"/>
      <c r="G717" s="89" t="s">
        <v>79</v>
      </c>
      <c r="H717" s="89">
        <f>SUM(H714:H716)</f>
        <v>65758.406051166559</v>
      </c>
      <c r="I717" s="62" t="s">
        <v>52</v>
      </c>
      <c r="J717" s="86">
        <v>0.99514948288785299</v>
      </c>
      <c r="K717" s="86">
        <f>AC701+0*L692</f>
        <v>209.66666666666669</v>
      </c>
      <c r="L717" s="86">
        <f>J717*1.5*((K717-G716)*500/2+(K717-G716)*500)</f>
        <v>95161.169301150963</v>
      </c>
      <c r="M717" s="62" t="s">
        <v>56</v>
      </c>
      <c r="N717" s="86">
        <v>6.3754135874950517E-3</v>
      </c>
      <c r="O717" s="86">
        <f>AC702+1*L692</f>
        <v>275.33333333333337</v>
      </c>
      <c r="P717" s="86">
        <f>N717*1.5*((O717-K717)*500/2)</f>
        <v>156.99455959206568</v>
      </c>
    </row>
    <row r="718" spans="1:20" x14ac:dyDescent="0.25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9" t="s">
        <v>79</v>
      </c>
      <c r="L718" s="89">
        <f>SUM(L714:L717)</f>
        <v>95162.946061731345</v>
      </c>
      <c r="M718" s="62" t="s">
        <v>52</v>
      </c>
      <c r="N718" s="86">
        <v>0.9936154339209059</v>
      </c>
      <c r="O718" s="86">
        <f>AC702+0*L692</f>
        <v>263.33333333333337</v>
      </c>
      <c r="P718" s="86">
        <f>N718*1.5*((O718-K717)*500/2)</f>
        <v>19996.510607658238</v>
      </c>
      <c r="Q718" s="179" t="s">
        <v>80</v>
      </c>
      <c r="R718" s="179"/>
      <c r="S718" s="180">
        <f>D716+H717+L718+P719</f>
        <v>181075.08265785634</v>
      </c>
      <c r="T718" s="180"/>
    </row>
    <row r="719" spans="1:20" x14ac:dyDescent="0.25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9" t="s">
        <v>79</v>
      </c>
      <c r="P719" s="89">
        <f>SUM(P714:P718)</f>
        <v>20153.730544958427</v>
      </c>
      <c r="Q719" s="179"/>
      <c r="R719" s="179"/>
      <c r="S719" s="180"/>
      <c r="T719" s="180"/>
    </row>
    <row r="720" spans="1:20" x14ac:dyDescent="0.25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</row>
    <row r="721" spans="1:34" x14ac:dyDescent="0.25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</row>
    <row r="722" spans="1:34" x14ac:dyDescent="0.25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</row>
    <row r="723" spans="1:34" ht="24.75" thickBot="1" x14ac:dyDescent="0.3">
      <c r="O723" s="131" t="s">
        <v>81</v>
      </c>
      <c r="P723" s="131"/>
      <c r="Q723" s="131">
        <f>(R709+P709+M710+S718)/AC702</f>
        <v>1122.679720640913</v>
      </c>
      <c r="R723" s="131"/>
    </row>
    <row r="724" spans="1:34" x14ac:dyDescent="0.25">
      <c r="A724" s="181" t="s">
        <v>124</v>
      </c>
      <c r="B724" s="182"/>
    </row>
    <row r="725" spans="1:34" ht="15.75" thickBot="1" x14ac:dyDescent="0.3">
      <c r="A725" s="183"/>
      <c r="B725" s="184"/>
    </row>
    <row r="726" spans="1:34" ht="21" x14ac:dyDescent="0.35">
      <c r="A726" s="185" t="s">
        <v>14</v>
      </c>
      <c r="B726" s="185"/>
      <c r="C726" s="165"/>
      <c r="D726" s="165"/>
      <c r="E726" s="165"/>
      <c r="F726" s="165"/>
      <c r="G726" s="165"/>
      <c r="H726" s="165"/>
      <c r="I726" s="165"/>
      <c r="J726" s="165"/>
      <c r="K726" s="165"/>
      <c r="L726" s="165"/>
      <c r="M726" s="165"/>
      <c r="O726" s="166" t="s">
        <v>72</v>
      </c>
      <c r="P726" s="166"/>
      <c r="Q726" s="166"/>
      <c r="R726" s="166"/>
      <c r="S726" s="166"/>
      <c r="T726" s="166"/>
      <c r="U726" s="166"/>
      <c r="V726" s="166"/>
    </row>
    <row r="727" spans="1:34" ht="36" x14ac:dyDescent="0.25">
      <c r="A727" s="4" t="s">
        <v>15</v>
      </c>
      <c r="B727" s="4" t="s">
        <v>16</v>
      </c>
      <c r="C727" s="4" t="s">
        <v>31</v>
      </c>
      <c r="D727" s="6" t="s">
        <v>17</v>
      </c>
      <c r="E727" s="6" t="s">
        <v>18</v>
      </c>
      <c r="F727" s="6" t="s">
        <v>19</v>
      </c>
      <c r="G727" s="6" t="s">
        <v>20</v>
      </c>
      <c r="H727" s="6" t="s">
        <v>21</v>
      </c>
      <c r="I727" s="6" t="s">
        <v>22</v>
      </c>
      <c r="J727" s="6" t="s">
        <v>23</v>
      </c>
      <c r="K727" s="6" t="s">
        <v>24</v>
      </c>
      <c r="L727" s="6" t="s">
        <v>25</v>
      </c>
      <c r="M727" s="6" t="s">
        <v>26</v>
      </c>
      <c r="N727" s="8"/>
      <c r="O727" s="167" t="s">
        <v>32</v>
      </c>
      <c r="P727" s="167" t="s">
        <v>35</v>
      </c>
      <c r="Q727" s="167" t="s">
        <v>66</v>
      </c>
      <c r="R727" s="99" t="s">
        <v>67</v>
      </c>
      <c r="S727" s="99" t="s">
        <v>68</v>
      </c>
      <c r="T727" s="167" t="s">
        <v>69</v>
      </c>
      <c r="U727" s="71" t="s">
        <v>33</v>
      </c>
      <c r="V727" s="99" t="s">
        <v>70</v>
      </c>
    </row>
    <row r="728" spans="1:34" x14ac:dyDescent="0.25">
      <c r="A728" s="3" t="s">
        <v>27</v>
      </c>
      <c r="B728" s="3">
        <v>0</v>
      </c>
      <c r="C728" s="3">
        <v>0.3</v>
      </c>
      <c r="D728" s="3">
        <v>243</v>
      </c>
      <c r="E728" s="3">
        <v>1.73</v>
      </c>
      <c r="F728" s="3">
        <v>5</v>
      </c>
      <c r="G728" s="169">
        <v>12</v>
      </c>
      <c r="H728" s="3">
        <v>1820</v>
      </c>
      <c r="I728" s="169">
        <v>19645</v>
      </c>
      <c r="J728" s="3">
        <v>20</v>
      </c>
      <c r="K728" s="3">
        <v>40</v>
      </c>
      <c r="L728" s="3">
        <v>500</v>
      </c>
      <c r="M728" s="3">
        <v>1000</v>
      </c>
      <c r="O728" s="168"/>
      <c r="P728" s="168"/>
      <c r="Q728" s="168"/>
      <c r="R728" s="72" t="s">
        <v>71</v>
      </c>
      <c r="S728" s="72" t="s">
        <v>71</v>
      </c>
      <c r="T728" s="168"/>
      <c r="U728" s="73">
        <v>500</v>
      </c>
      <c r="V728" s="3">
        <v>1.5</v>
      </c>
    </row>
    <row r="729" spans="1:34" x14ac:dyDescent="0.25">
      <c r="A729" s="3" t="s">
        <v>28</v>
      </c>
      <c r="B729" s="3">
        <v>0</v>
      </c>
      <c r="C729" s="3">
        <v>0.3</v>
      </c>
      <c r="D729" s="3">
        <v>254</v>
      </c>
      <c r="E729" s="3">
        <v>1.88</v>
      </c>
      <c r="F729" s="3">
        <v>3</v>
      </c>
      <c r="G729" s="170"/>
      <c r="H729" s="3">
        <v>2720</v>
      </c>
      <c r="I729" s="170"/>
      <c r="J729" s="5"/>
      <c r="K729" s="5"/>
      <c r="L729" s="5"/>
      <c r="M729" s="5"/>
      <c r="O729" s="74">
        <v>1</v>
      </c>
      <c r="P729" s="74">
        <v>106</v>
      </c>
      <c r="Q729" s="74">
        <v>110</v>
      </c>
      <c r="R729" s="74">
        <v>6</v>
      </c>
      <c r="S729" s="74">
        <v>5</v>
      </c>
      <c r="T729" s="74">
        <f>R729*$U$5/60+S729</f>
        <v>55</v>
      </c>
      <c r="U729" s="75"/>
    </row>
    <row r="730" spans="1:34" x14ac:dyDescent="0.25">
      <c r="A730" s="3" t="s">
        <v>29</v>
      </c>
      <c r="B730" s="3">
        <v>0</v>
      </c>
      <c r="C730" s="3">
        <v>0.3</v>
      </c>
      <c r="D730" s="3">
        <v>143</v>
      </c>
      <c r="E730" s="3">
        <v>2.4300000000000002</v>
      </c>
      <c r="F730" s="3">
        <v>8</v>
      </c>
      <c r="G730" s="170"/>
      <c r="H730" s="3">
        <v>3700</v>
      </c>
      <c r="I730" s="170"/>
      <c r="J730" s="5"/>
      <c r="K730" s="140" t="s">
        <v>73</v>
      </c>
      <c r="L730" s="141">
        <v>12</v>
      </c>
      <c r="M730" s="140" t="s">
        <v>74</v>
      </c>
      <c r="N730" s="141">
        <v>19645</v>
      </c>
      <c r="O730" s="74">
        <v>2</v>
      </c>
      <c r="P730" s="74">
        <v>76</v>
      </c>
      <c r="Q730" s="74">
        <v>40</v>
      </c>
      <c r="R730" s="74">
        <v>9</v>
      </c>
      <c r="S730" s="74">
        <v>2</v>
      </c>
      <c r="T730" s="74">
        <f t="shared" ref="T730:T732" si="76">R730*$U$5/60+S730</f>
        <v>77</v>
      </c>
      <c r="U730" s="75"/>
    </row>
    <row r="731" spans="1:34" x14ac:dyDescent="0.25">
      <c r="A731" s="3" t="s">
        <v>30</v>
      </c>
      <c r="B731" s="3">
        <v>0</v>
      </c>
      <c r="C731" s="3">
        <v>0.3</v>
      </c>
      <c r="D731" s="3">
        <v>449</v>
      </c>
      <c r="E731" s="3">
        <v>2.5299999999999998</v>
      </c>
      <c r="F731" s="3">
        <v>4</v>
      </c>
      <c r="G731" s="171"/>
      <c r="H731" s="3">
        <v>4320</v>
      </c>
      <c r="I731" s="171"/>
      <c r="J731" s="5"/>
      <c r="K731" s="140"/>
      <c r="L731" s="141"/>
      <c r="M731" s="140"/>
      <c r="N731" s="141"/>
      <c r="O731" s="74">
        <v>3</v>
      </c>
      <c r="P731" s="74">
        <v>95</v>
      </c>
      <c r="Q731" s="74">
        <v>67</v>
      </c>
      <c r="R731" s="74">
        <v>5</v>
      </c>
      <c r="S731" s="74">
        <v>4</v>
      </c>
      <c r="T731" s="74">
        <f t="shared" si="76"/>
        <v>45.666666666666664</v>
      </c>
      <c r="U731" s="75"/>
    </row>
    <row r="732" spans="1:34" ht="15.75" thickBo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O732" s="74">
        <v>4</v>
      </c>
      <c r="P732" s="74">
        <v>140</v>
      </c>
      <c r="Q732" s="94">
        <v>85</v>
      </c>
      <c r="R732" s="94">
        <v>8</v>
      </c>
      <c r="S732" s="94">
        <v>3</v>
      </c>
      <c r="T732" s="74">
        <f t="shared" si="76"/>
        <v>69.666666666666671</v>
      </c>
    </row>
    <row r="733" spans="1:34" ht="15" customHeight="1" x14ac:dyDescent="0.25">
      <c r="A733" s="172" t="s">
        <v>104</v>
      </c>
      <c r="B733" s="144" t="s">
        <v>105</v>
      </c>
      <c r="C733" s="144"/>
      <c r="D733" s="144"/>
      <c r="E733" s="144"/>
      <c r="F733" s="20" t="s">
        <v>27</v>
      </c>
      <c r="G733" s="20" t="s">
        <v>28</v>
      </c>
      <c r="H733" s="20" t="s">
        <v>29</v>
      </c>
      <c r="I733" s="20" t="s">
        <v>30</v>
      </c>
    </row>
    <row r="734" spans="1:34" ht="15.75" customHeight="1" thickBot="1" x14ac:dyDescent="0.3">
      <c r="A734" s="173"/>
      <c r="B734" s="145"/>
      <c r="C734" s="145"/>
      <c r="D734" s="145"/>
      <c r="E734" s="145"/>
      <c r="F734" s="20">
        <v>84</v>
      </c>
      <c r="G734" s="26">
        <v>84</v>
      </c>
      <c r="H734" s="26">
        <v>84</v>
      </c>
      <c r="I734" s="26">
        <v>252</v>
      </c>
    </row>
    <row r="735" spans="1:34" ht="15.75" customHeight="1" thickBot="1" x14ac:dyDescent="0.3">
      <c r="A735" s="173"/>
      <c r="B735" s="145"/>
      <c r="C735" s="145"/>
      <c r="D735" s="145"/>
      <c r="E735" s="145"/>
      <c r="F735" s="7"/>
      <c r="G735" s="146" t="s">
        <v>27</v>
      </c>
      <c r="H735" s="147"/>
      <c r="I735" s="147"/>
      <c r="J735" s="147"/>
      <c r="K735" s="148"/>
      <c r="L735" s="149" t="s">
        <v>28</v>
      </c>
      <c r="M735" s="150"/>
      <c r="N735" s="150"/>
      <c r="O735" s="150"/>
      <c r="P735" s="151"/>
      <c r="Q735" s="152" t="s">
        <v>29</v>
      </c>
      <c r="R735" s="153"/>
      <c r="S735" s="153"/>
      <c r="T735" s="153"/>
      <c r="U735" s="154"/>
      <c r="V735" s="155" t="s">
        <v>30</v>
      </c>
      <c r="W735" s="156"/>
      <c r="X735" s="156"/>
      <c r="Y735" s="156"/>
      <c r="Z735" s="157"/>
      <c r="AA735" s="158" t="s">
        <v>42</v>
      </c>
      <c r="AB735" s="159"/>
      <c r="AC735" s="160" t="s">
        <v>44</v>
      </c>
      <c r="AD735" s="162" t="s">
        <v>47</v>
      </c>
      <c r="AE735" s="163"/>
      <c r="AF735" s="163"/>
      <c r="AG735" s="164"/>
      <c r="AH735" s="138" t="s">
        <v>62</v>
      </c>
    </row>
    <row r="736" spans="1:34" ht="36.75" x14ac:dyDescent="0.25">
      <c r="A736" s="21" t="s">
        <v>32</v>
      </c>
      <c r="B736" s="22" t="s">
        <v>37</v>
      </c>
      <c r="C736" s="23" t="s">
        <v>33</v>
      </c>
      <c r="D736" s="22" t="s">
        <v>38</v>
      </c>
      <c r="E736" s="22" t="s">
        <v>34</v>
      </c>
      <c r="F736" s="25" t="s">
        <v>35</v>
      </c>
      <c r="G736" s="27" t="s">
        <v>39</v>
      </c>
      <c r="H736" s="10" t="s">
        <v>40</v>
      </c>
      <c r="I736" s="10" t="s">
        <v>45</v>
      </c>
      <c r="J736" s="10" t="s">
        <v>46</v>
      </c>
      <c r="K736" s="28" t="s">
        <v>41</v>
      </c>
      <c r="L736" s="30" t="s">
        <v>39</v>
      </c>
      <c r="M736" s="13" t="s">
        <v>40</v>
      </c>
      <c r="N736" s="13" t="s">
        <v>45</v>
      </c>
      <c r="O736" s="13" t="s">
        <v>46</v>
      </c>
      <c r="P736" s="31" t="s">
        <v>41</v>
      </c>
      <c r="Q736" s="33" t="s">
        <v>39</v>
      </c>
      <c r="R736" s="12" t="s">
        <v>40</v>
      </c>
      <c r="S736" s="12" t="s">
        <v>45</v>
      </c>
      <c r="T736" s="12" t="s">
        <v>46</v>
      </c>
      <c r="U736" s="34" t="s">
        <v>41</v>
      </c>
      <c r="V736" s="36" t="s">
        <v>39</v>
      </c>
      <c r="W736" s="11" t="s">
        <v>40</v>
      </c>
      <c r="X736" s="11" t="s">
        <v>45</v>
      </c>
      <c r="Y736" s="11" t="s">
        <v>46</v>
      </c>
      <c r="Z736" s="37" t="s">
        <v>41</v>
      </c>
      <c r="AA736" s="39" t="s">
        <v>41</v>
      </c>
      <c r="AB736" s="40" t="s">
        <v>43</v>
      </c>
      <c r="AC736" s="161"/>
      <c r="AD736" s="43" t="s">
        <v>27</v>
      </c>
      <c r="AE736" s="1" t="s">
        <v>28</v>
      </c>
      <c r="AF736" s="1" t="s">
        <v>29</v>
      </c>
      <c r="AG736" s="1" t="s">
        <v>30</v>
      </c>
      <c r="AH736" s="139"/>
    </row>
    <row r="737" spans="1:34" x14ac:dyDescent="0.25">
      <c r="A737" s="24">
        <v>4</v>
      </c>
      <c r="B737" s="9">
        <v>8</v>
      </c>
      <c r="C737" s="9">
        <v>500</v>
      </c>
      <c r="D737" s="9">
        <v>3</v>
      </c>
      <c r="E737" s="48">
        <f>B737*C737/60+D737</f>
        <v>69.666666666666671</v>
      </c>
      <c r="F737" s="100">
        <v>140</v>
      </c>
      <c r="G737" s="49">
        <f>B$5*(1-AD737*C$5)</f>
        <v>0</v>
      </c>
      <c r="H737" s="50">
        <f>G737+E737</f>
        <v>69.666666666666671</v>
      </c>
      <c r="I737" s="15">
        <f>(H737/D$5)^E$5</f>
        <v>0.11516869637804684</v>
      </c>
      <c r="J737" s="15">
        <f>(G737/D$5)^E$5</f>
        <v>0</v>
      </c>
      <c r="K737" s="29">
        <f>1-EXP(J737-I737)</f>
        <v>0.10878421365041502</v>
      </c>
      <c r="L737" s="51">
        <f>B$6*(1-AE737*C$6)</f>
        <v>0</v>
      </c>
      <c r="M737" s="52">
        <f>L737+E737</f>
        <v>69.666666666666671</v>
      </c>
      <c r="N737" s="17">
        <f>(M737/D$6)^E$6</f>
        <v>8.7861714115895329E-2</v>
      </c>
      <c r="O737" s="17">
        <f>(L737/D$6)^E$6</f>
        <v>0</v>
      </c>
      <c r="P737" s="32">
        <f>1-EXP(O737-N737)</f>
        <v>8.4112477717763534E-2</v>
      </c>
      <c r="Q737" s="53">
        <f>B$7*(1-AF737*C$7)</f>
        <v>0</v>
      </c>
      <c r="R737" s="54">
        <f>Q737+E737</f>
        <v>69.666666666666671</v>
      </c>
      <c r="S737" s="16">
        <f>(R737/D$7)^E$7</f>
        <v>0.17421448251746105</v>
      </c>
      <c r="T737" s="16">
        <f>(Q737/D$7)^E$7</f>
        <v>0</v>
      </c>
      <c r="U737" s="35">
        <f>1-EXP(T737-S737)</f>
        <v>0.15988331200899064</v>
      </c>
      <c r="V737" s="55">
        <f>B$8*(1-AG737*C$8)</f>
        <v>0</v>
      </c>
      <c r="W737" s="56">
        <f>V737+E737</f>
        <v>69.666666666666671</v>
      </c>
      <c r="X737" s="18">
        <f>(W737/D$8)^E$8</f>
        <v>8.9674731846197935E-3</v>
      </c>
      <c r="Y737" s="18">
        <f>(V737/D$8)^E$8</f>
        <v>0</v>
      </c>
      <c r="Z737" s="38">
        <f>1-EXP(Y737-X737)</f>
        <v>8.9273853154187011E-3</v>
      </c>
      <c r="AA737" s="41">
        <f>K737*P737*U737*Z737</f>
        <v>1.3060317021926209E-5</v>
      </c>
      <c r="AB737" s="42">
        <f>1-AA737</f>
        <v>0.99998693968297803</v>
      </c>
      <c r="AC737" s="47">
        <f>(AD737*F$5+AE737*F$6+AF737*F$7+AG737*F$8)+E737</f>
        <v>69.666666666666671</v>
      </c>
      <c r="AD737" s="43">
        <v>0</v>
      </c>
      <c r="AE737" s="1">
        <v>0</v>
      </c>
      <c r="AF737" s="1">
        <v>0</v>
      </c>
      <c r="AG737" s="1">
        <v>0</v>
      </c>
      <c r="AH737" s="74">
        <v>85</v>
      </c>
    </row>
    <row r="738" spans="1:34" x14ac:dyDescent="0.25">
      <c r="A738" s="76">
        <v>1</v>
      </c>
      <c r="B738" s="58">
        <v>6</v>
      </c>
      <c r="C738" s="9">
        <v>500</v>
      </c>
      <c r="D738" s="58">
        <v>5</v>
      </c>
      <c r="E738" s="48">
        <f t="shared" ref="E738:E740" si="77">B738*C738/60+D738</f>
        <v>55</v>
      </c>
      <c r="F738" s="100">
        <v>106</v>
      </c>
      <c r="G738" s="49">
        <f>H737*(1-AD738*C$5)</f>
        <v>69.666666666666671</v>
      </c>
      <c r="H738" s="50">
        <f>G738+E738</f>
        <v>124.66666666666667</v>
      </c>
      <c r="I738" s="15">
        <f>(H738/D$5)^E$5</f>
        <v>0.31517317577772647</v>
      </c>
      <c r="J738" s="15">
        <f>(G738/D$5)^E$5</f>
        <v>0.11516869637804684</v>
      </c>
      <c r="K738" s="29">
        <f>1-EXP(J738-I738)</f>
        <v>0.18127291433607728</v>
      </c>
      <c r="L738" s="51">
        <f>M737*(1-AE738*C$6)</f>
        <v>69.666666666666671</v>
      </c>
      <c r="M738" s="52">
        <f>L738+E738</f>
        <v>124.66666666666667</v>
      </c>
      <c r="N738" s="17">
        <f>(M738/D$6)^E$6</f>
        <v>0.26237549202961352</v>
      </c>
      <c r="O738" s="17">
        <f>(L738/D$6)^E$6</f>
        <v>8.7861714115895329E-2</v>
      </c>
      <c r="P738" s="32">
        <f>1-EXP(O738-N738)</f>
        <v>0.16013471744190411</v>
      </c>
      <c r="Q738" s="53">
        <f>R737*(1-AF738*C$7)</f>
        <v>69.666666666666671</v>
      </c>
      <c r="R738" s="54">
        <f>Q738+E738</f>
        <v>124.66666666666667</v>
      </c>
      <c r="S738" s="16">
        <f>(R738/D$7)^E$7</f>
        <v>0.71648445673009076</v>
      </c>
      <c r="T738" s="16">
        <f>(Q738/D$7)^E$7</f>
        <v>0.17421448251746105</v>
      </c>
      <c r="U738" s="35">
        <f>1-EXP(T738-S738)</f>
        <v>0.41857307087912443</v>
      </c>
      <c r="V738" s="55">
        <f>W737*(1-AG738*C$8)</f>
        <v>69.666666666666671</v>
      </c>
      <c r="W738" s="56">
        <f>V738+E738</f>
        <v>124.66666666666667</v>
      </c>
      <c r="X738" s="18">
        <f>(W738/D$8)^E$8</f>
        <v>3.9089951931753103E-2</v>
      </c>
      <c r="Y738" s="18">
        <f>(V738/D$8)^E$8</f>
        <v>8.9674731846197935E-3</v>
      </c>
      <c r="Z738" s="38">
        <f>1-EXP(Y738-X738)</f>
        <v>2.967331812605134E-2</v>
      </c>
      <c r="AA738" s="41">
        <f>K738*P738*U738*Z738</f>
        <v>3.6054195704698238E-4</v>
      </c>
      <c r="AB738" s="42">
        <f>1-AA738</f>
        <v>0.99963945804295307</v>
      </c>
      <c r="AC738" s="47">
        <f>AF738*F$7+E738+AC737</f>
        <v>124.66666666666667</v>
      </c>
      <c r="AD738" s="43">
        <v>0</v>
      </c>
      <c r="AE738" s="1">
        <v>0</v>
      </c>
      <c r="AF738" s="1">
        <v>0</v>
      </c>
      <c r="AG738" s="1">
        <v>0</v>
      </c>
      <c r="AH738" s="74">
        <v>110</v>
      </c>
    </row>
    <row r="739" spans="1:34" x14ac:dyDescent="0.25">
      <c r="A739" s="24">
        <v>3</v>
      </c>
      <c r="B739" s="9">
        <v>5</v>
      </c>
      <c r="C739" s="58">
        <v>500</v>
      </c>
      <c r="D739" s="58">
        <v>4</v>
      </c>
      <c r="E739" s="48">
        <f t="shared" si="77"/>
        <v>45.666666666666664</v>
      </c>
      <c r="F739" s="100">
        <v>95</v>
      </c>
      <c r="G739" s="68">
        <f>H738*(1-AD739*C$5)</f>
        <v>87.266666666666666</v>
      </c>
      <c r="H739" s="69">
        <f>G739+E739</f>
        <v>132.93333333333334</v>
      </c>
      <c r="I739" s="70">
        <f>(H739/D$5)^E$5</f>
        <v>0.35219872941851332</v>
      </c>
      <c r="J739" s="70">
        <f>(G739/D$5)^E$5</f>
        <v>0.17004695403506842</v>
      </c>
      <c r="K739" s="29">
        <f>1-EXP(J739-I739)</f>
        <v>0.16652517014650903</v>
      </c>
      <c r="L739" s="51">
        <f>M738*(1-AE739*C$6)</f>
        <v>87.266666666666666</v>
      </c>
      <c r="M739" s="52">
        <f>L739+E739</f>
        <v>132.93333333333334</v>
      </c>
      <c r="N739" s="17">
        <f>(M739/D$6)^E$6</f>
        <v>0.29603586895842493</v>
      </c>
      <c r="O739" s="17">
        <f>(L739/D$6)^E$6</f>
        <v>0.13418611561976262</v>
      </c>
      <c r="P739" s="32">
        <f>1-EXP(O739-N739)</f>
        <v>0.14943100990868496</v>
      </c>
      <c r="Q739" s="53">
        <f>R738*(1-AF739*C$7)</f>
        <v>87.266666666666666</v>
      </c>
      <c r="R739" s="54">
        <f>Q739+E739</f>
        <v>132.93333333333334</v>
      </c>
      <c r="S739" s="16">
        <f>(R739/D$7)^E$7</f>
        <v>0.83745946166039797</v>
      </c>
      <c r="T739" s="16">
        <f>(Q739/D$7)^E$7</f>
        <v>0.30115842040528412</v>
      </c>
      <c r="U739" s="35">
        <f>1-EXP(T739-S739)</f>
        <v>0.41509219429478805</v>
      </c>
      <c r="V739" s="55">
        <f>W738*(1-AG739*C$8)</f>
        <v>124.66666666666667</v>
      </c>
      <c r="W739" s="56">
        <f>V739+E739</f>
        <v>170.33333333333334</v>
      </c>
      <c r="X739" s="18">
        <f>(W739/D$8)^E$8</f>
        <v>8.6100338756432887E-2</v>
      </c>
      <c r="Y739" s="18">
        <f>(V739/D$8)^E$8</f>
        <v>3.9089951931753103E-2</v>
      </c>
      <c r="Z739" s="38">
        <f>1-EXP(Y739-X739)</f>
        <v>4.5922512296690643E-2</v>
      </c>
      <c r="AA739" s="41">
        <f>K739*P739*U739*Z739</f>
        <v>4.7434117322257678E-4</v>
      </c>
      <c r="AB739" s="42">
        <f>1-AA739</f>
        <v>0.99952565882677746</v>
      </c>
      <c r="AC739" s="47">
        <f>(AF739*F$7)+E739+AC738</f>
        <v>178.33333333333334</v>
      </c>
      <c r="AD739" s="77">
        <v>1</v>
      </c>
      <c r="AE739" s="78">
        <v>1</v>
      </c>
      <c r="AF739" s="78">
        <v>1</v>
      </c>
      <c r="AG739" s="78">
        <v>0</v>
      </c>
      <c r="AH739" s="74">
        <v>67</v>
      </c>
    </row>
    <row r="740" spans="1:34" ht="15.75" thickBot="1" x14ac:dyDescent="0.3">
      <c r="A740" s="57">
        <v>2</v>
      </c>
      <c r="B740" s="58">
        <v>9</v>
      </c>
      <c r="C740" s="58">
        <v>500</v>
      </c>
      <c r="D740" s="9">
        <v>2</v>
      </c>
      <c r="E740" s="48">
        <f t="shared" si="77"/>
        <v>77</v>
      </c>
      <c r="F740" s="100">
        <v>76</v>
      </c>
      <c r="G740" s="68">
        <f>H739*(1-AD740*C$5)</f>
        <v>93.053333333333327</v>
      </c>
      <c r="H740" s="69">
        <f>G740+E740</f>
        <v>170.05333333333334</v>
      </c>
      <c r="I740" s="70">
        <f>(H740/D$5)^E$5</f>
        <v>0.5392789330539719</v>
      </c>
      <c r="J740" s="70">
        <f>(G740/D$5)^E$5</f>
        <v>0.19002353548918979</v>
      </c>
      <c r="K740" s="29">
        <f>1-EXP(J740-I740)</f>
        <v>0.294787002414027</v>
      </c>
      <c r="L740" s="51">
        <f>M739*(1-AE740*C$6)</f>
        <v>93.053333333333327</v>
      </c>
      <c r="M740" s="52">
        <f>L740+E740</f>
        <v>170.05333333333334</v>
      </c>
      <c r="N740" s="17">
        <f>(M740/D$6)^E$6</f>
        <v>0.47034084314905283</v>
      </c>
      <c r="O740" s="17">
        <f>(L740/D$6)^E$6</f>
        <v>0.15140096749268256</v>
      </c>
      <c r="P740" s="32">
        <f>1-EXP(O740-N740)</f>
        <v>0.27308074646452829</v>
      </c>
      <c r="Q740" s="53">
        <f>R739*(1-AF740*C$7)</f>
        <v>93.053333333333327</v>
      </c>
      <c r="R740" s="54">
        <f>Q740+E740</f>
        <v>170.05333333333334</v>
      </c>
      <c r="S740" s="16">
        <f>(R740/D$7)^E$7</f>
        <v>1.5235451944421441</v>
      </c>
      <c r="T740" s="16">
        <f>(Q740/D$7)^E$7</f>
        <v>0.35200759243004098</v>
      </c>
      <c r="U740" s="35">
        <f>1-EXP(T740-S740)</f>
        <v>0.6901099128680086</v>
      </c>
      <c r="V740" s="55">
        <f>W739*(1-AG740*C$8)</f>
        <v>170.33333333333334</v>
      </c>
      <c r="W740" s="56">
        <f>V740+E740</f>
        <v>247.33333333333334</v>
      </c>
      <c r="X740" s="18">
        <f>(W740/D$8)^E$8</f>
        <v>0.22121871391987213</v>
      </c>
      <c r="Y740" s="18">
        <f>(V740/D$8)^E$8</f>
        <v>8.6100338756432887E-2</v>
      </c>
      <c r="Z740" s="38">
        <f>1-EXP(Y740-X740)</f>
        <v>0.1263875084545022</v>
      </c>
      <c r="AA740" s="41">
        <f>K740*P740*U740*Z740</f>
        <v>7.0213695329065925E-3</v>
      </c>
      <c r="AB740" s="42">
        <f>1-AA740</f>
        <v>0.99297863046709345</v>
      </c>
      <c r="AC740" s="47">
        <f>(AF740*F$7)+E740+AC739</f>
        <v>263.33333333333337</v>
      </c>
      <c r="AD740" s="80">
        <v>1</v>
      </c>
      <c r="AE740" s="45">
        <v>1</v>
      </c>
      <c r="AF740" s="81">
        <v>1</v>
      </c>
      <c r="AG740" s="45">
        <v>0</v>
      </c>
      <c r="AH740" s="94">
        <v>40</v>
      </c>
    </row>
    <row r="741" spans="1:34" ht="18.75" x14ac:dyDescent="0.3">
      <c r="A741" s="132" t="s">
        <v>53</v>
      </c>
      <c r="B741" s="132"/>
      <c r="C741" s="132"/>
      <c r="D741" s="132"/>
      <c r="E741" s="132"/>
      <c r="F741" s="132"/>
      <c r="G741" s="132"/>
      <c r="H741" s="132"/>
      <c r="I741" s="132"/>
      <c r="J741" s="132"/>
      <c r="AG741" s="46"/>
    </row>
    <row r="742" spans="1:34" ht="15.75" x14ac:dyDescent="0.25">
      <c r="A742" s="19" t="s">
        <v>82</v>
      </c>
      <c r="B742" s="60" t="s">
        <v>49</v>
      </c>
      <c r="C742" s="61" t="s">
        <v>50</v>
      </c>
      <c r="D742" s="19" t="s">
        <v>58</v>
      </c>
      <c r="E742" s="60" t="s">
        <v>57</v>
      </c>
      <c r="F742" s="61" t="s">
        <v>50</v>
      </c>
      <c r="G742" s="19" t="s">
        <v>54</v>
      </c>
      <c r="H742" s="60" t="s">
        <v>61</v>
      </c>
      <c r="I742" s="61" t="s">
        <v>50</v>
      </c>
      <c r="J742" s="19" t="s">
        <v>48</v>
      </c>
      <c r="K742" s="83" t="s">
        <v>84</v>
      </c>
      <c r="L742" s="61" t="s">
        <v>50</v>
      </c>
      <c r="M742" s="61" t="s">
        <v>85</v>
      </c>
      <c r="O742" s="174" t="s">
        <v>64</v>
      </c>
      <c r="P742" s="174"/>
      <c r="Q742" s="175" t="s">
        <v>109</v>
      </c>
      <c r="R742" s="175"/>
    </row>
    <row r="743" spans="1:34" ht="24.75" x14ac:dyDescent="0.25">
      <c r="A743" s="61" t="s">
        <v>51</v>
      </c>
      <c r="B743" s="1">
        <f>AA737</f>
        <v>1.3060317021926209E-5</v>
      </c>
      <c r="C743" s="59">
        <f>MAX(AC737+1*L730-F737,0)</f>
        <v>0</v>
      </c>
      <c r="D743" s="62" t="s">
        <v>55</v>
      </c>
      <c r="E743" s="1">
        <f>AA737*AA738</f>
        <v>4.7087922587392923E-9</v>
      </c>
      <c r="F743" s="1">
        <f>MAX(AC738+2*L730-F738,0)</f>
        <v>42.666666666666686</v>
      </c>
      <c r="G743" s="62" t="s">
        <v>59</v>
      </c>
      <c r="H743" s="1">
        <f>AA737*AA738*AA739</f>
        <v>2.2335740444717832E-12</v>
      </c>
      <c r="I743" s="1">
        <f>AC739+3*L730-F739</f>
        <v>119.33333333333334</v>
      </c>
      <c r="J743" s="62" t="s">
        <v>83</v>
      </c>
      <c r="K743" s="1">
        <f>AA737*AA738*AA739*AA740</f>
        <v>1.5682748745345132E-14</v>
      </c>
      <c r="L743" s="1">
        <f>AC740+4*L730-F740</f>
        <v>235.33333333333337</v>
      </c>
      <c r="M743" s="1">
        <f>B743*C743*AH737+E743*F743*AH738+H743*I743*AH739+K743*L743*AH740</f>
        <v>2.2117937463634846E-5</v>
      </c>
      <c r="O743" s="1" t="s">
        <v>27</v>
      </c>
      <c r="P743" s="1">
        <f>2*H728</f>
        <v>3640</v>
      </c>
      <c r="Q743" s="1">
        <f>(K737*(1-P737)*(1-U737)*(1-Z737))+(P737*(1-K737)*(1-U737)*(1-Z737))+(U737*(1-K737)*(1-P737)*(1-Z737))+(Z737*(1-K737)*(1-P737)*(1-U737))</f>
        <v>0.28083409477630866</v>
      </c>
      <c r="R743" s="1">
        <f>Q743*(L$7*(J$5*K$5+L$5)+I$5)</f>
        <v>9897.9976703909997</v>
      </c>
    </row>
    <row r="744" spans="1:34" ht="24.75" x14ac:dyDescent="0.25">
      <c r="A744" s="62" t="s">
        <v>52</v>
      </c>
      <c r="B744" s="1">
        <f>AB737</f>
        <v>0.99998693968297803</v>
      </c>
      <c r="C744" s="59">
        <f>MAX(AC737-F737,0)</f>
        <v>0</v>
      </c>
      <c r="D744" s="62" t="s">
        <v>56</v>
      </c>
      <c r="E744" s="1">
        <f>AA737*AB738+AA738*AB737</f>
        <v>3.7359285648439107E-4</v>
      </c>
      <c r="F744" s="1">
        <f>MAX(AC738+1*L730-F738,0)</f>
        <v>30.666666666666686</v>
      </c>
      <c r="G744" s="62" t="s">
        <v>60</v>
      </c>
      <c r="H744" s="1">
        <f>AA737*AA738*AB739+AA738*AA739*AB737+AA737*AA739*AB738</f>
        <v>1.8191703253707464E-7</v>
      </c>
      <c r="I744" s="1">
        <f>AC739+2*L730-F739</f>
        <v>107.33333333333334</v>
      </c>
      <c r="J744" s="62" t="s">
        <v>59</v>
      </c>
      <c r="K744">
        <f>AB737*AA738*AA739*AA740+AB738*AA737*AA739*AA740*+AB739*AA737*AA738*AA740+AB740*AA737*AA738*AA739</f>
        <v>1.2029960881316069E-9</v>
      </c>
      <c r="L744" s="1">
        <f>AC740+3*L730-F740</f>
        <v>223.33333333333337</v>
      </c>
      <c r="M744" s="1">
        <f>B744*C744*AH737+E744*F744*AH738+H744*I744*AH739+K744*L744*AH740</f>
        <v>1.2615722086590524</v>
      </c>
      <c r="O744" s="1" t="s">
        <v>28</v>
      </c>
      <c r="P744" s="1">
        <f>2*H729</f>
        <v>5440</v>
      </c>
      <c r="Q744" s="1">
        <f t="shared" ref="Q744:Q746" si="78">(K738*(1-P738)*(1-U738)*(1-Z738))+(P738*(1-K738)*(1-U738)*(1-Z738))+(U738*(1-K738)*(1-P738)*(1-Z738))+(Z738*(1-K738)*(1-P738)*(1-U738))</f>
        <v>0.45100181571012737</v>
      </c>
      <c r="R744" s="1">
        <f t="shared" ref="R744:R746" si="79">Q744*(L$7*(J$5*K$5+L$5)+I$5)</f>
        <v>15895.558994703439</v>
      </c>
    </row>
    <row r="745" spans="1:34" ht="24.75" x14ac:dyDescent="0.25">
      <c r="A745" s="1"/>
      <c r="B745" s="1"/>
      <c r="C745" s="1"/>
      <c r="D745" s="62" t="s">
        <v>52</v>
      </c>
      <c r="E745" s="1">
        <f>AB737*AB738</f>
        <v>0.99962640243472334</v>
      </c>
      <c r="F745" s="59">
        <f>MAX(AC738-F738,0)</f>
        <v>18.666666666666671</v>
      </c>
      <c r="G745" s="62" t="s">
        <v>56</v>
      </c>
      <c r="H745" s="1">
        <f>AA737*AB738*AB739+AA738*AB737*AB739*+AA739*AB737*AB738</f>
        <v>1.3220288096276756E-5</v>
      </c>
      <c r="I745" s="1">
        <f>AC739+1*L730-F739</f>
        <v>95.333333333333343</v>
      </c>
      <c r="J745" s="62" t="s">
        <v>60</v>
      </c>
      <c r="K745" s="1">
        <f>AA737*AA738*AB739*AB740 + AA737*AA739*AB738*AB740 + AA737*AA740*AB738*AB739 + AA738*AA739*AB737*AB740 + AA738*AA740*AB737*AB739 + AA739*AA740*AB737*AB738</f>
        <v>6.131809351799733E-6</v>
      </c>
      <c r="L745" s="1">
        <f>AC740+2*L730-F740</f>
        <v>211.33333333333337</v>
      </c>
      <c r="M745" s="1">
        <f>B745*C745*AH737+E745*F745*AH738+H745*I745*AH739+K745*L745*AH740</f>
        <v>2052.7024896145199</v>
      </c>
      <c r="O745" s="1" t="s">
        <v>29</v>
      </c>
      <c r="P745" s="1">
        <f>2*(F730*(J728*K728+L728)+H730)</f>
        <v>28200</v>
      </c>
      <c r="Q745" s="1">
        <f t="shared" si="78"/>
        <v>0.44834447525262466</v>
      </c>
      <c r="R745" s="1">
        <f t="shared" si="79"/>
        <v>15801.901030278756</v>
      </c>
    </row>
    <row r="746" spans="1:34" ht="24.75" x14ac:dyDescent="0.25">
      <c r="A746" s="1"/>
      <c r="B746" s="1"/>
      <c r="C746" s="1"/>
      <c r="D746" s="1"/>
      <c r="E746" s="1"/>
      <c r="F746" s="1"/>
      <c r="G746" s="62" t="s">
        <v>52</v>
      </c>
      <c r="H746" s="1">
        <f>AB737*AB738*AB739</f>
        <v>0.9991522384742082</v>
      </c>
      <c r="I746" s="63">
        <f>AC739-F739</f>
        <v>83.333333333333343</v>
      </c>
      <c r="J746" s="62" t="s">
        <v>56</v>
      </c>
      <c r="K746" s="1">
        <f>AA737*AB738*AB739*AB740+AA738*AB737*AB739*AB740+AA739*AB737*AB738*AB740+AA740*AB737*AB738*AB739</f>
        <v>7.8570455228579444E-3</v>
      </c>
      <c r="L746" s="1">
        <f>AC740+1*L730-F740</f>
        <v>199.33333333333337</v>
      </c>
      <c r="M746" s="1">
        <f>B746*C746*AH737+E746*F746*AH738+H746*I746*AH739+K746*L746*AH740</f>
        <v>5641.2468411165837</v>
      </c>
      <c r="O746" s="1" t="s">
        <v>30</v>
      </c>
      <c r="P746" s="1">
        <v>0</v>
      </c>
      <c r="Q746" s="1">
        <f t="shared" si="78"/>
        <v>0.43928690638593859</v>
      </c>
      <c r="R746" s="1">
        <f t="shared" si="79"/>
        <v>15482.667015572406</v>
      </c>
    </row>
    <row r="747" spans="1:34" ht="30" x14ac:dyDescent="0.25">
      <c r="I747" s="84"/>
      <c r="J747" s="62" t="s">
        <v>52</v>
      </c>
      <c r="K747" s="85">
        <f>AB737*AB738*AB739*AB740</f>
        <v>0.99213682138824999</v>
      </c>
      <c r="L747" s="1">
        <f>AC740+0*L730-F740</f>
        <v>187.33333333333337</v>
      </c>
      <c r="M747" s="1">
        <f>B747*C747*AH737+E747*F747*AH738+H747*I747*AH739+K747*L747*AH740</f>
        <v>7434.4119149359549</v>
      </c>
      <c r="O747" s="64" t="s">
        <v>65</v>
      </c>
      <c r="P747" s="65">
        <f>SUM(P743:P746)</f>
        <v>37280</v>
      </c>
      <c r="Q747" s="96" t="s">
        <v>108</v>
      </c>
      <c r="R747" s="97">
        <f>SUM(R743:R746)</f>
        <v>57078.124710945602</v>
      </c>
    </row>
    <row r="748" spans="1:34" x14ac:dyDescent="0.25">
      <c r="L748" s="176" t="s">
        <v>63</v>
      </c>
      <c r="M748" s="177">
        <f>SUM(M743:M747)</f>
        <v>15129.622839993655</v>
      </c>
    </row>
    <row r="749" spans="1:34" x14ac:dyDescent="0.25">
      <c r="L749" s="176"/>
      <c r="M749" s="177"/>
    </row>
    <row r="750" spans="1:34" x14ac:dyDescent="0.25">
      <c r="A750" s="178" t="s">
        <v>90</v>
      </c>
      <c r="B750" s="178"/>
      <c r="C750" s="178"/>
      <c r="D750" s="178"/>
      <c r="E750" s="178"/>
      <c r="F750" s="178"/>
      <c r="G750" s="178"/>
      <c r="H750" s="178"/>
      <c r="I750" s="178"/>
      <c r="J750" s="178"/>
      <c r="K750" s="178"/>
      <c r="L750" s="178"/>
      <c r="M750" s="178"/>
      <c r="N750" s="178"/>
    </row>
    <row r="751" spans="1:34" ht="15.75" x14ac:dyDescent="0.25">
      <c r="A751" s="87" t="s">
        <v>86</v>
      </c>
      <c r="B751" s="62" t="s">
        <v>49</v>
      </c>
      <c r="C751" s="90" t="s">
        <v>103</v>
      </c>
      <c r="D751" s="62" t="s">
        <v>88</v>
      </c>
      <c r="E751" s="87" t="s">
        <v>77</v>
      </c>
      <c r="F751" s="62" t="s">
        <v>57</v>
      </c>
      <c r="G751" s="90" t="s">
        <v>78</v>
      </c>
      <c r="H751" s="62" t="s">
        <v>88</v>
      </c>
      <c r="I751" s="87" t="s">
        <v>76</v>
      </c>
      <c r="J751" s="62" t="s">
        <v>61</v>
      </c>
      <c r="K751" s="90" t="s">
        <v>87</v>
      </c>
      <c r="L751" s="62" t="s">
        <v>88</v>
      </c>
      <c r="M751" s="87" t="s">
        <v>75</v>
      </c>
      <c r="N751" s="62" t="s">
        <v>84</v>
      </c>
      <c r="O751" s="90" t="s">
        <v>102</v>
      </c>
      <c r="P751" s="62" t="s">
        <v>88</v>
      </c>
    </row>
    <row r="752" spans="1:34" ht="24.75" x14ac:dyDescent="0.25">
      <c r="A752" s="62" t="s">
        <v>51</v>
      </c>
      <c r="B752" s="86">
        <v>1.3060317021926209E-5</v>
      </c>
      <c r="C752" s="86">
        <f>AC737+1*L730</f>
        <v>81.666666666666671</v>
      </c>
      <c r="D752" s="86">
        <f>MAX(B752*1.5*((C752-F737)*500/2),0)</f>
        <v>0</v>
      </c>
      <c r="E752" s="62" t="s">
        <v>55</v>
      </c>
      <c r="F752" s="86">
        <v>4.7087922587392923E-9</v>
      </c>
      <c r="G752" s="86">
        <f>AC738+2*L730</f>
        <v>148.66666666666669</v>
      </c>
      <c r="H752" s="86">
        <f>F752*1.5*((G752-F738)*500/2+(G752-F739)*500+(G752-F740)*500)</f>
        <v>5.2149874265537677E-4</v>
      </c>
      <c r="I752" s="62" t="s">
        <v>59</v>
      </c>
      <c r="J752" s="86">
        <v>2.2335740444717832E-12</v>
      </c>
      <c r="K752" s="86">
        <f>AC739+3*L730</f>
        <v>214.33333333333334</v>
      </c>
      <c r="L752" s="86">
        <f>J752*1.5*((K752-G752)*500/2+(K752-G752)*500)</f>
        <v>1.6500528253535296E-7</v>
      </c>
      <c r="M752" s="62" t="s">
        <v>83</v>
      </c>
      <c r="N752" s="86">
        <v>1.5682748745345132E-14</v>
      </c>
      <c r="O752" s="86">
        <f>AC740+4*L730</f>
        <v>311.33333333333337</v>
      </c>
      <c r="P752" s="86">
        <f>N752*1.5*((O752-K752)*500/2)</f>
        <v>5.7045998561192935E-10</v>
      </c>
    </row>
    <row r="753" spans="1:22" ht="24.75" x14ac:dyDescent="0.25">
      <c r="A753" s="62" t="s">
        <v>52</v>
      </c>
      <c r="B753" s="86">
        <v>0.99998693968297803</v>
      </c>
      <c r="C753" s="88">
        <f>AC737</f>
        <v>69.666666666666671</v>
      </c>
      <c r="D753" s="86">
        <f>MAX(B753*1.5*((C753-F737)*500/2),0)</f>
        <v>0</v>
      </c>
      <c r="E753" s="62" t="s">
        <v>56</v>
      </c>
      <c r="F753" s="86">
        <v>3.7359285648439107E-4</v>
      </c>
      <c r="G753" s="86">
        <f>AC738+1*L730</f>
        <v>136.66666666666669</v>
      </c>
      <c r="H753" s="86">
        <f>F753*1.5*((G753-F738)*500/2+(G753-F739)*500+(G753-F740)*500)</f>
        <v>32.969569584747525</v>
      </c>
      <c r="I753" s="62" t="s">
        <v>60</v>
      </c>
      <c r="J753" s="86">
        <v>1.8191703253707464E-7</v>
      </c>
      <c r="K753" s="86">
        <f>AC739+2*L730</f>
        <v>202.33333333333334</v>
      </c>
      <c r="L753" s="86">
        <f>J753*1.5*((K753-G753)*500/2+(K753-G753)*500)</f>
        <v>1.3439120778676388E-2</v>
      </c>
      <c r="M753" s="62" t="s">
        <v>59</v>
      </c>
      <c r="N753" s="86">
        <v>1.2029960881316069E-9</v>
      </c>
      <c r="O753" s="86">
        <f>AC740+3*L730</f>
        <v>299.33333333333337</v>
      </c>
      <c r="P753" s="86">
        <f>N753*1.5*((O753-K753)*500/2)</f>
        <v>4.3758982705787211E-5</v>
      </c>
    </row>
    <row r="754" spans="1:22" x14ac:dyDescent="0.25">
      <c r="A754" s="86"/>
      <c r="B754" s="86"/>
      <c r="C754" s="89" t="s">
        <v>89</v>
      </c>
      <c r="D754" s="89">
        <f>SUM(D752:D753)</f>
        <v>0</v>
      </c>
      <c r="E754" s="62" t="s">
        <v>52</v>
      </c>
      <c r="F754" s="86">
        <v>0.99962640243472334</v>
      </c>
      <c r="G754" s="86">
        <f>AC738+0*L730</f>
        <v>124.66666666666667</v>
      </c>
      <c r="H754" s="86">
        <f>F754*1.5*((G754-F738)*500/2+(G754-F739)*500+(G754-F740)*500)</f>
        <v>65725.435960083065</v>
      </c>
      <c r="I754" s="62" t="s">
        <v>56</v>
      </c>
      <c r="J754" s="86">
        <v>1.3220288096276756E-5</v>
      </c>
      <c r="K754" s="86">
        <f>AC739+1*L730</f>
        <v>190.33333333333334</v>
      </c>
      <c r="L754" s="86">
        <f>J754*1.5*((K754-G754)*500/2+(K754-G754)*500)</f>
        <v>0.9766487831124453</v>
      </c>
      <c r="M754" s="62" t="s">
        <v>60</v>
      </c>
      <c r="N754" s="86">
        <v>6.131809351799733E-6</v>
      </c>
      <c r="O754" s="86">
        <f>AC740+2*L730</f>
        <v>287.33333333333337</v>
      </c>
      <c r="P754" s="86">
        <f>N754*1.5*((O754-K754)*500/2)</f>
        <v>0.22304456517171536</v>
      </c>
    </row>
    <row r="755" spans="1:22" x14ac:dyDescent="0.25">
      <c r="A755" s="86"/>
      <c r="B755" s="86"/>
      <c r="C755" s="86"/>
      <c r="D755" s="86"/>
      <c r="E755" s="86"/>
      <c r="F755" s="86"/>
      <c r="G755" s="89" t="s">
        <v>79</v>
      </c>
      <c r="H755" s="89">
        <f>SUM(H752:H754)</f>
        <v>65758.406051166559</v>
      </c>
      <c r="I755" s="62" t="s">
        <v>52</v>
      </c>
      <c r="J755" s="86">
        <v>0.9991522384742082</v>
      </c>
      <c r="K755" s="86">
        <f>AC739+0*L730</f>
        <v>178.33333333333334</v>
      </c>
      <c r="L755" s="86">
        <f>J755*1.5*((K755-G754)*500/2+(K755-G754)*500)</f>
        <v>60323.816397880328</v>
      </c>
      <c r="M755" s="62" t="s">
        <v>56</v>
      </c>
      <c r="N755" s="86">
        <v>7.8570455228579444E-3</v>
      </c>
      <c r="O755" s="86">
        <f>AC740+1*L730</f>
        <v>275.33333333333337</v>
      </c>
      <c r="P755" s="86">
        <f>N755*1.5*((O755-K755)*500/2)</f>
        <v>285.8000308939578</v>
      </c>
    </row>
    <row r="756" spans="1:22" x14ac:dyDescent="0.25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9" t="s">
        <v>79</v>
      </c>
      <c r="L756" s="89">
        <f>SUM(L752:L755)</f>
        <v>60324.806485949222</v>
      </c>
      <c r="M756" s="62" t="s">
        <v>52</v>
      </c>
      <c r="N756" s="86">
        <v>0.99213682138824999</v>
      </c>
      <c r="O756" s="86">
        <f>AC740+0*L730</f>
        <v>263.33333333333337</v>
      </c>
      <c r="P756" s="86">
        <f>N756*1.5*((O756-K755)*500/2)</f>
        <v>31624.361181750475</v>
      </c>
      <c r="Q756" s="179" t="s">
        <v>80</v>
      </c>
      <c r="R756" s="179"/>
      <c r="S756" s="180">
        <f>D754+H755+L756+P757</f>
        <v>157993.59683808495</v>
      </c>
      <c r="T756" s="180"/>
    </row>
    <row r="757" spans="1:22" x14ac:dyDescent="0.25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9" t="s">
        <v>79</v>
      </c>
      <c r="P757" s="89">
        <f>SUM(P752:P756)</f>
        <v>31910.384300969159</v>
      </c>
      <c r="Q757" s="179"/>
      <c r="R757" s="179"/>
      <c r="S757" s="180"/>
      <c r="T757" s="180"/>
    </row>
    <row r="758" spans="1:22" x14ac:dyDescent="0.25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</row>
    <row r="759" spans="1:22" x14ac:dyDescent="0.25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</row>
    <row r="760" spans="1:22" x14ac:dyDescent="0.25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</row>
    <row r="761" spans="1:22" ht="24.75" thickBot="1" x14ac:dyDescent="0.3">
      <c r="O761" s="131" t="s">
        <v>81</v>
      </c>
      <c r="P761" s="131"/>
      <c r="Q761" s="131">
        <f>(R747+P747+M748+S756)/AC740</f>
        <v>1015.7519407178132</v>
      </c>
      <c r="R761" s="131"/>
    </row>
    <row r="762" spans="1:22" x14ac:dyDescent="0.25">
      <c r="A762" s="181" t="s">
        <v>125</v>
      </c>
      <c r="B762" s="182"/>
    </row>
    <row r="763" spans="1:22" ht="15.75" thickBot="1" x14ac:dyDescent="0.3">
      <c r="A763" s="183"/>
      <c r="B763" s="184"/>
    </row>
    <row r="764" spans="1:22" ht="21" x14ac:dyDescent="0.35">
      <c r="A764" s="185" t="s">
        <v>14</v>
      </c>
      <c r="B764" s="185"/>
      <c r="C764" s="165"/>
      <c r="D764" s="165"/>
      <c r="E764" s="165"/>
      <c r="F764" s="165"/>
      <c r="G764" s="165"/>
      <c r="H764" s="165"/>
      <c r="I764" s="165"/>
      <c r="J764" s="165"/>
      <c r="K764" s="165"/>
      <c r="L764" s="165"/>
      <c r="M764" s="165"/>
      <c r="O764" s="166" t="s">
        <v>72</v>
      </c>
      <c r="P764" s="166"/>
      <c r="Q764" s="166"/>
      <c r="R764" s="166"/>
      <c r="S764" s="166"/>
      <c r="T764" s="166"/>
      <c r="U764" s="166"/>
      <c r="V764" s="166"/>
    </row>
    <row r="765" spans="1:22" ht="36" x14ac:dyDescent="0.25">
      <c r="A765" s="4" t="s">
        <v>15</v>
      </c>
      <c r="B765" s="4" t="s">
        <v>16</v>
      </c>
      <c r="C765" s="4" t="s">
        <v>31</v>
      </c>
      <c r="D765" s="6" t="s">
        <v>17</v>
      </c>
      <c r="E765" s="6" t="s">
        <v>18</v>
      </c>
      <c r="F765" s="6" t="s">
        <v>19</v>
      </c>
      <c r="G765" s="6" t="s">
        <v>20</v>
      </c>
      <c r="H765" s="6" t="s">
        <v>21</v>
      </c>
      <c r="I765" s="6" t="s">
        <v>22</v>
      </c>
      <c r="J765" s="6" t="s">
        <v>23</v>
      </c>
      <c r="K765" s="6" t="s">
        <v>24</v>
      </c>
      <c r="L765" s="6" t="s">
        <v>25</v>
      </c>
      <c r="M765" s="6" t="s">
        <v>26</v>
      </c>
      <c r="N765" s="8"/>
      <c r="O765" s="167" t="s">
        <v>32</v>
      </c>
      <c r="P765" s="167" t="s">
        <v>35</v>
      </c>
      <c r="Q765" s="167" t="s">
        <v>66</v>
      </c>
      <c r="R765" s="99" t="s">
        <v>67</v>
      </c>
      <c r="S765" s="99" t="s">
        <v>68</v>
      </c>
      <c r="T765" s="167" t="s">
        <v>69</v>
      </c>
      <c r="U765" s="71" t="s">
        <v>33</v>
      </c>
      <c r="V765" s="99" t="s">
        <v>70</v>
      </c>
    </row>
    <row r="766" spans="1:22" x14ac:dyDescent="0.25">
      <c r="A766" s="3" t="s">
        <v>27</v>
      </c>
      <c r="B766" s="3">
        <v>0</v>
      </c>
      <c r="C766" s="3">
        <v>0.3</v>
      </c>
      <c r="D766" s="3">
        <v>243</v>
      </c>
      <c r="E766" s="3">
        <v>1.73</v>
      </c>
      <c r="F766" s="3">
        <v>5</v>
      </c>
      <c r="G766" s="169">
        <v>12</v>
      </c>
      <c r="H766" s="3">
        <v>1820</v>
      </c>
      <c r="I766" s="169">
        <v>19645</v>
      </c>
      <c r="J766" s="3">
        <v>20</v>
      </c>
      <c r="K766" s="3">
        <v>40</v>
      </c>
      <c r="L766" s="3">
        <v>500</v>
      </c>
      <c r="M766" s="3">
        <v>1000</v>
      </c>
      <c r="O766" s="168"/>
      <c r="P766" s="168"/>
      <c r="Q766" s="168"/>
      <c r="R766" s="72" t="s">
        <v>71</v>
      </c>
      <c r="S766" s="72" t="s">
        <v>71</v>
      </c>
      <c r="T766" s="168"/>
      <c r="U766" s="73">
        <v>500</v>
      </c>
      <c r="V766" s="3">
        <v>1.5</v>
      </c>
    </row>
    <row r="767" spans="1:22" x14ac:dyDescent="0.25">
      <c r="A767" s="3" t="s">
        <v>28</v>
      </c>
      <c r="B767" s="3">
        <v>0</v>
      </c>
      <c r="C767" s="3">
        <v>0.3</v>
      </c>
      <c r="D767" s="3">
        <v>254</v>
      </c>
      <c r="E767" s="3">
        <v>1.88</v>
      </c>
      <c r="F767" s="3">
        <v>3</v>
      </c>
      <c r="G767" s="170"/>
      <c r="H767" s="3">
        <v>2720</v>
      </c>
      <c r="I767" s="170"/>
      <c r="J767" s="5"/>
      <c r="K767" s="5"/>
      <c r="L767" s="5"/>
      <c r="M767" s="5"/>
      <c r="O767" s="74">
        <v>1</v>
      </c>
      <c r="P767" s="74">
        <v>106</v>
      </c>
      <c r="Q767" s="74">
        <v>110</v>
      </c>
      <c r="R767" s="74">
        <v>6</v>
      </c>
      <c r="S767" s="74">
        <v>5</v>
      </c>
      <c r="T767" s="74">
        <f>R767*$U$5/60+S767</f>
        <v>55</v>
      </c>
      <c r="U767" s="75"/>
    </row>
    <row r="768" spans="1:22" x14ac:dyDescent="0.25">
      <c r="A768" s="3" t="s">
        <v>29</v>
      </c>
      <c r="B768" s="3">
        <v>0</v>
      </c>
      <c r="C768" s="3">
        <v>0.3</v>
      </c>
      <c r="D768" s="3">
        <v>143</v>
      </c>
      <c r="E768" s="3">
        <v>2.4300000000000002</v>
      </c>
      <c r="F768" s="3">
        <v>8</v>
      </c>
      <c r="G768" s="170"/>
      <c r="H768" s="3">
        <v>3700</v>
      </c>
      <c r="I768" s="170"/>
      <c r="J768" s="5"/>
      <c r="K768" s="140" t="s">
        <v>73</v>
      </c>
      <c r="L768" s="141">
        <v>12</v>
      </c>
      <c r="M768" s="140" t="s">
        <v>74</v>
      </c>
      <c r="N768" s="141">
        <v>19645</v>
      </c>
      <c r="O768" s="74">
        <v>2</v>
      </c>
      <c r="P768" s="74">
        <v>76</v>
      </c>
      <c r="Q768" s="74">
        <v>40</v>
      </c>
      <c r="R768" s="74">
        <v>9</v>
      </c>
      <c r="S768" s="74">
        <v>2</v>
      </c>
      <c r="T768" s="74">
        <f t="shared" ref="T768:T770" si="80">R768*$U$5/60+S768</f>
        <v>77</v>
      </c>
      <c r="U768" s="75"/>
    </row>
    <row r="769" spans="1:34" x14ac:dyDescent="0.25">
      <c r="A769" s="3" t="s">
        <v>30</v>
      </c>
      <c r="B769" s="3">
        <v>0</v>
      </c>
      <c r="C769" s="3">
        <v>0.3</v>
      </c>
      <c r="D769" s="3">
        <v>449</v>
      </c>
      <c r="E769" s="3">
        <v>2.5299999999999998</v>
      </c>
      <c r="F769" s="3">
        <v>4</v>
      </c>
      <c r="G769" s="171"/>
      <c r="H769" s="3">
        <v>4320</v>
      </c>
      <c r="I769" s="171"/>
      <c r="J769" s="5"/>
      <c r="K769" s="140"/>
      <c r="L769" s="141"/>
      <c r="M769" s="140"/>
      <c r="N769" s="141"/>
      <c r="O769" s="74">
        <v>3</v>
      </c>
      <c r="P769" s="74">
        <v>95</v>
      </c>
      <c r="Q769" s="74">
        <v>67</v>
      </c>
      <c r="R769" s="74">
        <v>5</v>
      </c>
      <c r="S769" s="74">
        <v>4</v>
      </c>
      <c r="T769" s="74">
        <f t="shared" si="80"/>
        <v>45.666666666666664</v>
      </c>
      <c r="U769" s="75"/>
    </row>
    <row r="770" spans="1:34" ht="15.75" thickBo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O770" s="74">
        <v>4</v>
      </c>
      <c r="P770" s="74">
        <v>140</v>
      </c>
      <c r="Q770" s="94">
        <v>85</v>
      </c>
      <c r="R770" s="94">
        <v>8</v>
      </c>
      <c r="S770" s="94">
        <v>3</v>
      </c>
      <c r="T770" s="74">
        <f t="shared" si="80"/>
        <v>69.666666666666671</v>
      </c>
    </row>
    <row r="771" spans="1:34" ht="15" customHeight="1" x14ac:dyDescent="0.25">
      <c r="A771" s="172" t="s">
        <v>104</v>
      </c>
      <c r="B771" s="144" t="s">
        <v>105</v>
      </c>
      <c r="C771" s="144"/>
      <c r="D771" s="144"/>
      <c r="E771" s="144"/>
      <c r="F771" s="20" t="s">
        <v>27</v>
      </c>
      <c r="G771" s="20" t="s">
        <v>28</v>
      </c>
      <c r="H771" s="20" t="s">
        <v>29</v>
      </c>
      <c r="I771" s="20" t="s">
        <v>30</v>
      </c>
    </row>
    <row r="772" spans="1:34" ht="15.75" customHeight="1" thickBot="1" x14ac:dyDescent="0.3">
      <c r="A772" s="173"/>
      <c r="B772" s="145"/>
      <c r="C772" s="145"/>
      <c r="D772" s="145"/>
      <c r="E772" s="145"/>
      <c r="F772" s="20">
        <v>84</v>
      </c>
      <c r="G772" s="26">
        <v>84</v>
      </c>
      <c r="H772" s="26">
        <v>84</v>
      </c>
      <c r="I772" s="26">
        <v>252</v>
      </c>
    </row>
    <row r="773" spans="1:34" ht="15.75" customHeight="1" thickBot="1" x14ac:dyDescent="0.3">
      <c r="A773" s="173"/>
      <c r="B773" s="145"/>
      <c r="C773" s="145"/>
      <c r="D773" s="145"/>
      <c r="E773" s="145"/>
      <c r="F773" s="7"/>
      <c r="G773" s="146" t="s">
        <v>27</v>
      </c>
      <c r="H773" s="147"/>
      <c r="I773" s="147"/>
      <c r="J773" s="147"/>
      <c r="K773" s="148"/>
      <c r="L773" s="149" t="s">
        <v>28</v>
      </c>
      <c r="M773" s="150"/>
      <c r="N773" s="150"/>
      <c r="O773" s="150"/>
      <c r="P773" s="151"/>
      <c r="Q773" s="152" t="s">
        <v>29</v>
      </c>
      <c r="R773" s="153"/>
      <c r="S773" s="153"/>
      <c r="T773" s="153"/>
      <c r="U773" s="154"/>
      <c r="V773" s="155" t="s">
        <v>30</v>
      </c>
      <c r="W773" s="156"/>
      <c r="X773" s="156"/>
      <c r="Y773" s="156"/>
      <c r="Z773" s="157"/>
      <c r="AA773" s="158" t="s">
        <v>42</v>
      </c>
      <c r="AB773" s="159"/>
      <c r="AC773" s="160" t="s">
        <v>44</v>
      </c>
      <c r="AD773" s="162" t="s">
        <v>47</v>
      </c>
      <c r="AE773" s="163"/>
      <c r="AF773" s="163"/>
      <c r="AG773" s="164"/>
      <c r="AH773" s="138" t="s">
        <v>62</v>
      </c>
    </row>
    <row r="774" spans="1:34" ht="36.75" x14ac:dyDescent="0.25">
      <c r="A774" s="21" t="s">
        <v>32</v>
      </c>
      <c r="B774" s="22" t="s">
        <v>37</v>
      </c>
      <c r="C774" s="23" t="s">
        <v>33</v>
      </c>
      <c r="D774" s="22" t="s">
        <v>38</v>
      </c>
      <c r="E774" s="22" t="s">
        <v>34</v>
      </c>
      <c r="F774" s="25" t="s">
        <v>35</v>
      </c>
      <c r="G774" s="27" t="s">
        <v>39</v>
      </c>
      <c r="H774" s="10" t="s">
        <v>40</v>
      </c>
      <c r="I774" s="10" t="s">
        <v>45</v>
      </c>
      <c r="J774" s="10" t="s">
        <v>46</v>
      </c>
      <c r="K774" s="28" t="s">
        <v>41</v>
      </c>
      <c r="L774" s="30" t="s">
        <v>39</v>
      </c>
      <c r="M774" s="13" t="s">
        <v>40</v>
      </c>
      <c r="N774" s="13" t="s">
        <v>45</v>
      </c>
      <c r="O774" s="13" t="s">
        <v>46</v>
      </c>
      <c r="P774" s="31" t="s">
        <v>41</v>
      </c>
      <c r="Q774" s="33" t="s">
        <v>39</v>
      </c>
      <c r="R774" s="12" t="s">
        <v>40</v>
      </c>
      <c r="S774" s="12" t="s">
        <v>45</v>
      </c>
      <c r="T774" s="12" t="s">
        <v>46</v>
      </c>
      <c r="U774" s="34" t="s">
        <v>41</v>
      </c>
      <c r="V774" s="36" t="s">
        <v>39</v>
      </c>
      <c r="W774" s="11" t="s">
        <v>40</v>
      </c>
      <c r="X774" s="11" t="s">
        <v>45</v>
      </c>
      <c r="Y774" s="11" t="s">
        <v>46</v>
      </c>
      <c r="Z774" s="37" t="s">
        <v>41</v>
      </c>
      <c r="AA774" s="39" t="s">
        <v>41</v>
      </c>
      <c r="AB774" s="40" t="s">
        <v>43</v>
      </c>
      <c r="AC774" s="161"/>
      <c r="AD774" s="43" t="s">
        <v>27</v>
      </c>
      <c r="AE774" s="1" t="s">
        <v>28</v>
      </c>
      <c r="AF774" s="1" t="s">
        <v>29</v>
      </c>
      <c r="AG774" s="1" t="s">
        <v>30</v>
      </c>
      <c r="AH774" s="139"/>
    </row>
    <row r="775" spans="1:34" x14ac:dyDescent="0.25">
      <c r="A775" s="24">
        <v>4</v>
      </c>
      <c r="B775" s="9">
        <v>8</v>
      </c>
      <c r="C775" s="9">
        <v>500</v>
      </c>
      <c r="D775" s="9">
        <v>3</v>
      </c>
      <c r="E775" s="48">
        <f>B775*C775/60+D775</f>
        <v>69.666666666666671</v>
      </c>
      <c r="F775" s="100">
        <v>140</v>
      </c>
      <c r="G775" s="49">
        <f>B$5*(1-AD775*C$5)</f>
        <v>0</v>
      </c>
      <c r="H775" s="50">
        <f>G775+E775</f>
        <v>69.666666666666671</v>
      </c>
      <c r="I775" s="15">
        <f>(H775/D$5)^E$5</f>
        <v>0.11516869637804684</v>
      </c>
      <c r="J775" s="15">
        <f>(G775/D$5)^E$5</f>
        <v>0</v>
      </c>
      <c r="K775" s="29">
        <f>1-EXP(J775-I775)</f>
        <v>0.10878421365041502</v>
      </c>
      <c r="L775" s="51">
        <f>B$6*(1-AE775*C$6)</f>
        <v>0</v>
      </c>
      <c r="M775" s="52">
        <f>L775+E775</f>
        <v>69.666666666666671</v>
      </c>
      <c r="N775" s="17">
        <f>(M775/D$6)^E$6</f>
        <v>8.7861714115895329E-2</v>
      </c>
      <c r="O775" s="17">
        <f>(L775/D$6)^E$6</f>
        <v>0</v>
      </c>
      <c r="P775" s="32">
        <f>1-EXP(O775-N775)</f>
        <v>8.4112477717763534E-2</v>
      </c>
      <c r="Q775" s="53">
        <f>B$7*(1-AF775*C$7)</f>
        <v>0</v>
      </c>
      <c r="R775" s="54">
        <f>Q775+E775</f>
        <v>69.666666666666671</v>
      </c>
      <c r="S775" s="16">
        <f>(R775/D$7)^E$7</f>
        <v>0.17421448251746105</v>
      </c>
      <c r="T775" s="16">
        <f>(Q775/D$7)^E$7</f>
        <v>0</v>
      </c>
      <c r="U775" s="35">
        <f>1-EXP(T775-S775)</f>
        <v>0.15988331200899064</v>
      </c>
      <c r="V775" s="55">
        <f>B$8*(1-AG775*C$8)</f>
        <v>0</v>
      </c>
      <c r="W775" s="56">
        <f>V775+E775</f>
        <v>69.666666666666671</v>
      </c>
      <c r="X775" s="18">
        <f>(W775/D$8)^E$8</f>
        <v>8.9674731846197935E-3</v>
      </c>
      <c r="Y775" s="18">
        <f>(V775/D$8)^E$8</f>
        <v>0</v>
      </c>
      <c r="Z775" s="38">
        <f>1-EXP(Y775-X775)</f>
        <v>8.9273853154187011E-3</v>
      </c>
      <c r="AA775" s="41">
        <f>K775*P775*U775*Z775</f>
        <v>1.3060317021926209E-5</v>
      </c>
      <c r="AB775" s="42">
        <f>1-AA775</f>
        <v>0.99998693968297803</v>
      </c>
      <c r="AC775" s="47">
        <f>(AD775*F$5+AE775*F$6+AF775*F$7+AG775*F$8)+E775</f>
        <v>69.666666666666671</v>
      </c>
      <c r="AD775" s="43">
        <v>0</v>
      </c>
      <c r="AE775" s="1">
        <v>0</v>
      </c>
      <c r="AF775" s="1">
        <v>0</v>
      </c>
      <c r="AG775" s="1">
        <v>0</v>
      </c>
      <c r="AH775" s="74">
        <v>85</v>
      </c>
    </row>
    <row r="776" spans="1:34" x14ac:dyDescent="0.25">
      <c r="A776" s="76">
        <v>2</v>
      </c>
      <c r="B776" s="58">
        <v>9</v>
      </c>
      <c r="C776" s="9">
        <v>500</v>
      </c>
      <c r="D776" s="58">
        <v>2</v>
      </c>
      <c r="E776" s="48">
        <f t="shared" ref="E776:E778" si="81">B776*C776/60+D776</f>
        <v>77</v>
      </c>
      <c r="F776" s="100">
        <v>76</v>
      </c>
      <c r="G776" s="49">
        <f>H775*(1-AD776*C$5)</f>
        <v>69.666666666666671</v>
      </c>
      <c r="H776" s="50">
        <f>G776+E776</f>
        <v>146.66666666666669</v>
      </c>
      <c r="I776" s="15">
        <f>(H776/D$5)^E$5</f>
        <v>0.41749810283193062</v>
      </c>
      <c r="J776" s="15">
        <f>(G776/D$5)^E$5</f>
        <v>0.11516869637804684</v>
      </c>
      <c r="K776" s="29">
        <f>1-EXP(J776-I776)</f>
        <v>0.26090543773277519</v>
      </c>
      <c r="L776" s="51">
        <f>M775*(1-AE776*C$6)</f>
        <v>69.666666666666671</v>
      </c>
      <c r="M776" s="52">
        <f>L776+E776</f>
        <v>146.66666666666669</v>
      </c>
      <c r="N776" s="17">
        <f>(M776/D$6)^E$6</f>
        <v>0.35613584348340649</v>
      </c>
      <c r="O776" s="17">
        <f>(L776/D$6)^E$6</f>
        <v>8.7861714115895329E-2</v>
      </c>
      <c r="P776" s="32">
        <f>1-EXP(O776-N776)</f>
        <v>0.23530187384577195</v>
      </c>
      <c r="Q776" s="53">
        <f>R775*(1-AF776*C$7)</f>
        <v>69.666666666666671</v>
      </c>
      <c r="R776" s="54">
        <f>Q776+E776</f>
        <v>146.66666666666669</v>
      </c>
      <c r="S776" s="16">
        <f>(R776/D$7)^E$7</f>
        <v>1.0634541830073496</v>
      </c>
      <c r="T776" s="16">
        <f>(Q776/D$7)^E$7</f>
        <v>0.17421448251746105</v>
      </c>
      <c r="U776" s="35">
        <f>1-EXP(T776-S776)</f>
        <v>0.58903190715905007</v>
      </c>
      <c r="V776" s="55">
        <f>W775*(1-AG776*C$8)</f>
        <v>69.666666666666671</v>
      </c>
      <c r="W776" s="56">
        <f>V776+E776</f>
        <v>146.66666666666669</v>
      </c>
      <c r="X776" s="18">
        <f>(W776/D$8)^E$8</f>
        <v>5.897056032024859E-2</v>
      </c>
      <c r="Y776" s="18">
        <f>(V776/D$8)^E$8</f>
        <v>8.9674731846197935E-3</v>
      </c>
      <c r="Z776" s="38">
        <f>1-EXP(Y776-X776)</f>
        <v>4.8773512069000713E-2</v>
      </c>
      <c r="AA776" s="41">
        <f>K776*P776*U776*Z776</f>
        <v>1.7637270119788228E-3</v>
      </c>
      <c r="AB776" s="42">
        <f>1-AA776</f>
        <v>0.9982362729880212</v>
      </c>
      <c r="AC776" s="47">
        <f>AF776*F$7+E776+AC775</f>
        <v>146.66666666666669</v>
      </c>
      <c r="AD776" s="43">
        <v>0</v>
      </c>
      <c r="AE776" s="1">
        <v>0</v>
      </c>
      <c r="AF776" s="1">
        <v>0</v>
      </c>
      <c r="AG776" s="1">
        <v>0</v>
      </c>
      <c r="AH776" s="74">
        <v>40</v>
      </c>
    </row>
    <row r="777" spans="1:34" x14ac:dyDescent="0.25">
      <c r="A777" s="24">
        <v>1</v>
      </c>
      <c r="B777" s="9">
        <v>6</v>
      </c>
      <c r="C777" s="58">
        <v>500</v>
      </c>
      <c r="D777" s="58">
        <v>5</v>
      </c>
      <c r="E777" s="48">
        <f t="shared" si="81"/>
        <v>55</v>
      </c>
      <c r="F777" s="100">
        <v>106</v>
      </c>
      <c r="G777" s="68">
        <f>H776*(1-AD777*C$5)</f>
        <v>102.66666666666667</v>
      </c>
      <c r="H777" s="69">
        <f>G777+E777</f>
        <v>157.66666666666669</v>
      </c>
      <c r="I777" s="70">
        <f>(H777/D$5)^E$5</f>
        <v>0.47314161668142424</v>
      </c>
      <c r="J777" s="70">
        <f>(G777/D$5)^E$5</f>
        <v>0.22525483181366224</v>
      </c>
      <c r="K777" s="29">
        <f>1-EXP(J777-I777)</f>
        <v>0.21955170316640893</v>
      </c>
      <c r="L777" s="51">
        <f>M776*(1-AE777*C$6)</f>
        <v>102.66666666666667</v>
      </c>
      <c r="M777" s="52">
        <f>L777+E777</f>
        <v>157.66666666666669</v>
      </c>
      <c r="N777" s="17">
        <f>(M777/D$6)^E$6</f>
        <v>0.40800322739554595</v>
      </c>
      <c r="O777" s="17">
        <f>(L777/D$6)^E$6</f>
        <v>0.18213776408892768</v>
      </c>
      <c r="P777" s="32">
        <f>1-EXP(O777-N777)</f>
        <v>0.20217456875895568</v>
      </c>
      <c r="Q777" s="53">
        <f>R776*(1-AF777*C$7)</f>
        <v>102.66666666666667</v>
      </c>
      <c r="R777" s="54">
        <f>Q777+E777</f>
        <v>157.66666666666669</v>
      </c>
      <c r="S777" s="16">
        <f>(R777/D$7)^E$7</f>
        <v>1.2677725729300298</v>
      </c>
      <c r="T777" s="16">
        <f>(Q777/D$7)^E$7</f>
        <v>0.44699948326797367</v>
      </c>
      <c r="U777" s="35">
        <f>1-EXP(T777-S777)</f>
        <v>0.55990870707098139</v>
      </c>
      <c r="V777" s="55">
        <f>W776*(1-AG777*C$8)</f>
        <v>146.66666666666669</v>
      </c>
      <c r="W777" s="56">
        <f>V777+E777</f>
        <v>201.66666666666669</v>
      </c>
      <c r="X777" s="18">
        <f>(W777/D$8)^E$8</f>
        <v>0.13199001575183039</v>
      </c>
      <c r="Y777" s="18">
        <f>(V777/D$8)^E$8</f>
        <v>5.897056032024859E-2</v>
      </c>
      <c r="Z777" s="38">
        <f>1-EXP(Y777-X777)</f>
        <v>7.0417255583621996E-2</v>
      </c>
      <c r="AA777" s="41">
        <f>K777*P777*U777*Z777</f>
        <v>1.7500870538216565E-3</v>
      </c>
      <c r="AB777" s="42">
        <f>1-AA777</f>
        <v>0.99824991294617837</v>
      </c>
      <c r="AC777" s="47">
        <f>(AF777*F$7)+E777+AC776</f>
        <v>209.66666666666669</v>
      </c>
      <c r="AD777" s="77">
        <v>1</v>
      </c>
      <c r="AE777" s="78">
        <v>1</v>
      </c>
      <c r="AF777" s="78">
        <v>1</v>
      </c>
      <c r="AG777" s="78">
        <v>0</v>
      </c>
      <c r="AH777" s="74">
        <v>110</v>
      </c>
    </row>
    <row r="778" spans="1:34" ht="15.75" thickBot="1" x14ac:dyDescent="0.3">
      <c r="A778" s="57">
        <v>3</v>
      </c>
      <c r="B778" s="58">
        <v>5</v>
      </c>
      <c r="C778" s="58">
        <v>500</v>
      </c>
      <c r="D778" s="9">
        <v>4</v>
      </c>
      <c r="E778" s="48">
        <f t="shared" si="81"/>
        <v>45.666666666666664</v>
      </c>
      <c r="F778" s="100">
        <v>95</v>
      </c>
      <c r="G778" s="68">
        <f>H777*(1-AD778*C$5)</f>
        <v>110.36666666666667</v>
      </c>
      <c r="H778" s="69">
        <f>G778+E778</f>
        <v>156.03333333333333</v>
      </c>
      <c r="I778" s="70">
        <f>(H778/D$5)^E$5</f>
        <v>0.46469417134425517</v>
      </c>
      <c r="J778" s="70">
        <f>(G778/D$5)^E$5</f>
        <v>0.25527645411246963</v>
      </c>
      <c r="K778" s="29">
        <f>1-EXP(J778-I778)</f>
        <v>0.18894362734892267</v>
      </c>
      <c r="L778" s="51">
        <f>M777*(1-AE778*C$6)</f>
        <v>110.36666666666667</v>
      </c>
      <c r="M778" s="52">
        <f>L778+E778</f>
        <v>156.03333333333333</v>
      </c>
      <c r="N778" s="17">
        <f>(M778/D$6)^E$6</f>
        <v>0.40009331888325944</v>
      </c>
      <c r="O778" s="17">
        <f>(L778/D$6)^E$6</f>
        <v>0.20866418513797683</v>
      </c>
      <c r="P778" s="32">
        <f>1-EXP(O778-N778)</f>
        <v>0.17422185716279748</v>
      </c>
      <c r="Q778" s="53">
        <f>R777*(1-AF778*C$7)</f>
        <v>110.36666666666667</v>
      </c>
      <c r="R778" s="54">
        <f>Q778+E778</f>
        <v>156.03333333333333</v>
      </c>
      <c r="S778" s="16">
        <f>(R778/D$7)^E$7</f>
        <v>1.236094511081606</v>
      </c>
      <c r="T778" s="16">
        <f>(Q778/D$7)^E$7</f>
        <v>0.53288020683549875</v>
      </c>
      <c r="U778" s="35">
        <f>1-EXP(T778-S778)</f>
        <v>0.50500830990741408</v>
      </c>
      <c r="V778" s="55">
        <f>W777*(1-AG778*C$8)</f>
        <v>201.66666666666669</v>
      </c>
      <c r="W778" s="56">
        <f>V778+E778</f>
        <v>247.33333333333334</v>
      </c>
      <c r="X778" s="18">
        <f>(W778/D$8)^E$8</f>
        <v>0.22121871391987213</v>
      </c>
      <c r="Y778" s="18">
        <f>(V778/D$8)^E$8</f>
        <v>0.13199001575183039</v>
      </c>
      <c r="Z778" s="38">
        <f>1-EXP(Y778-X778)</f>
        <v>8.5363626009572924E-2</v>
      </c>
      <c r="AA778" s="41">
        <f>K778*P778*U778*Z778</f>
        <v>1.4190779977244171E-3</v>
      </c>
      <c r="AB778" s="42">
        <f>1-AA778</f>
        <v>0.99858092200227555</v>
      </c>
      <c r="AC778" s="47">
        <f>(AF778*F$7)+E778+AC777</f>
        <v>263.33333333333337</v>
      </c>
      <c r="AD778" s="80">
        <v>1</v>
      </c>
      <c r="AE778" s="45">
        <v>1</v>
      </c>
      <c r="AF778" s="81">
        <v>1</v>
      </c>
      <c r="AG778" s="45">
        <v>0</v>
      </c>
      <c r="AH778" s="94">
        <v>67</v>
      </c>
    </row>
    <row r="779" spans="1:34" ht="18.75" x14ac:dyDescent="0.3">
      <c r="A779" s="132" t="s">
        <v>53</v>
      </c>
      <c r="B779" s="132"/>
      <c r="C779" s="132"/>
      <c r="D779" s="132"/>
      <c r="E779" s="132"/>
      <c r="F779" s="132"/>
      <c r="G779" s="132"/>
      <c r="H779" s="132"/>
      <c r="I779" s="132"/>
      <c r="J779" s="132"/>
      <c r="AG779" s="46"/>
    </row>
    <row r="780" spans="1:34" ht="15.75" x14ac:dyDescent="0.25">
      <c r="A780" s="19" t="s">
        <v>82</v>
      </c>
      <c r="B780" s="60" t="s">
        <v>49</v>
      </c>
      <c r="C780" s="61" t="s">
        <v>50</v>
      </c>
      <c r="D780" s="19" t="s">
        <v>48</v>
      </c>
      <c r="E780" s="60" t="s">
        <v>57</v>
      </c>
      <c r="F780" s="61" t="s">
        <v>50</v>
      </c>
      <c r="G780" s="19" t="s">
        <v>58</v>
      </c>
      <c r="H780" s="60" t="s">
        <v>61</v>
      </c>
      <c r="I780" s="61" t="s">
        <v>50</v>
      </c>
      <c r="J780" s="19" t="s">
        <v>54</v>
      </c>
      <c r="K780" s="83" t="s">
        <v>84</v>
      </c>
      <c r="L780" s="61" t="s">
        <v>50</v>
      </c>
      <c r="M780" s="61" t="s">
        <v>85</v>
      </c>
      <c r="O780" s="174" t="s">
        <v>64</v>
      </c>
      <c r="P780" s="174"/>
      <c r="Q780" s="175" t="s">
        <v>109</v>
      </c>
      <c r="R780" s="175"/>
    </row>
    <row r="781" spans="1:34" ht="24.75" x14ac:dyDescent="0.25">
      <c r="A781" s="61" t="s">
        <v>51</v>
      </c>
      <c r="B781" s="1">
        <f>AA775</f>
        <v>1.3060317021926209E-5</v>
      </c>
      <c r="C781" s="59">
        <f>MAX(AC775+1*L768-F775,0)</f>
        <v>0</v>
      </c>
      <c r="D781" s="62" t="s">
        <v>55</v>
      </c>
      <c r="E781" s="1">
        <f>AA775*AA776</f>
        <v>2.3034833916578068E-8</v>
      </c>
      <c r="F781" s="1">
        <f>MAX(AC776+2*L768-F776,0)</f>
        <v>94.666666666666686</v>
      </c>
      <c r="G781" s="62" t="s">
        <v>59</v>
      </c>
      <c r="H781" s="1">
        <f>AA775*AA776*AA777</f>
        <v>4.0312964624335279E-11</v>
      </c>
      <c r="I781" s="1">
        <f>AC777+3*L768-F777</f>
        <v>139.66666666666669</v>
      </c>
      <c r="J781" s="62" t="s">
        <v>83</v>
      </c>
      <c r="K781" s="1">
        <f>AA775*AA776*AA777*AA778</f>
        <v>5.7207241121436971E-14</v>
      </c>
      <c r="L781" s="1">
        <f>AC778+4*L768-F778</f>
        <v>216.33333333333337</v>
      </c>
      <c r="M781" s="1">
        <f>B781*C781*AH775+E781*F781*AH776+H781*I781*AH777+K781*L781*AH778</f>
        <v>8.78454084581094E-5</v>
      </c>
      <c r="O781" s="1" t="s">
        <v>27</v>
      </c>
      <c r="P781" s="1">
        <f>2*H766</f>
        <v>3640</v>
      </c>
      <c r="Q781" s="1">
        <f>(K775*(1-P775)*(1-U775)*(1-Z775))+(P775*(1-K775)*(1-U775)*(1-Z775))+(U775*(1-K775)*(1-P775)*(1-Z775))+(Z775*(1-K775)*(1-P775)*(1-U775))</f>
        <v>0.28083409477630866</v>
      </c>
      <c r="R781" s="1">
        <f>Q781*(L$7*(J$5*K$5+L$5)+I$5)</f>
        <v>9897.9976703909997</v>
      </c>
    </row>
    <row r="782" spans="1:34" ht="24.75" x14ac:dyDescent="0.25">
      <c r="A782" s="62" t="s">
        <v>52</v>
      </c>
      <c r="B782" s="1">
        <f>AB775</f>
        <v>0.99998693968297803</v>
      </c>
      <c r="C782" s="59">
        <f>MAX(AC775-F775,0)</f>
        <v>0</v>
      </c>
      <c r="D782" s="62" t="s">
        <v>56</v>
      </c>
      <c r="E782" s="1">
        <f>AA775*AB776+AA776*AB775</f>
        <v>1.7767412593329157E-3</v>
      </c>
      <c r="F782" s="1">
        <f>MAX(AC776+1*L768-F776,0)</f>
        <v>82.666666666666686</v>
      </c>
      <c r="G782" s="62" t="s">
        <v>60</v>
      </c>
      <c r="H782" s="1">
        <f>AA775*AA776*AB777+AA776*AA777*AB775+AA775*AA777*AB776</f>
        <v>3.1324463969012761E-6</v>
      </c>
      <c r="I782" s="1">
        <f>AC777+2*L768-F777</f>
        <v>127.66666666666669</v>
      </c>
      <c r="J782" s="62" t="s">
        <v>59</v>
      </c>
      <c r="K782">
        <f>AB775*AA776*AA777*AA778+AB776*AA775*AA777*AA778*+AB777*AA775*AA776*AA778+AB778*AA775*AA776*AA777</f>
        <v>4.4204322784205748E-9</v>
      </c>
      <c r="L782" s="1">
        <f>AC778+3*L768-F778</f>
        <v>204.33333333333337</v>
      </c>
      <c r="M782" s="1">
        <f>B782*C782*AH775+E782*F782*AH776+H782*I782*AH777+K782*L782*AH778</f>
        <v>5.9191416036193623</v>
      </c>
      <c r="O782" s="1" t="s">
        <v>28</v>
      </c>
      <c r="P782" s="1">
        <f>2*H767</f>
        <v>5440</v>
      </c>
      <c r="Q782" s="1">
        <f t="shared" ref="Q782:Q784" si="82">(K776*(1-P776)*(1-U776)*(1-Z776))+(P776*(1-K776)*(1-U776)*(1-Z776))+(U776*(1-K776)*(1-P776)*(1-Z776))+(Z776*(1-K776)*(1-P776)*(1-U776))</f>
        <v>0.47398342923204934</v>
      </c>
      <c r="R782" s="1">
        <f t="shared" ref="R782:R784" si="83">Q782*(L$7*(J$5*K$5+L$5)+I$5)</f>
        <v>16705.545963283577</v>
      </c>
    </row>
    <row r="783" spans="1:34" ht="24.75" x14ac:dyDescent="0.25">
      <c r="A783" s="1"/>
      <c r="B783" s="1"/>
      <c r="C783" s="1"/>
      <c r="D783" s="62" t="s">
        <v>52</v>
      </c>
      <c r="E783" s="1">
        <f>AB775*AB776</f>
        <v>0.99822323570583316</v>
      </c>
      <c r="F783" s="59">
        <f>MAX(AC776-F776,0)</f>
        <v>70.666666666666686</v>
      </c>
      <c r="G783" s="62" t="s">
        <v>56</v>
      </c>
      <c r="H783" s="1">
        <f>AA775*AB776*AB777+AA776*AB775*AB777*+AA777*AB775*AB776</f>
        <v>1.6090224799715454E-5</v>
      </c>
      <c r="I783" s="1">
        <f>AC777+1*L768-F777</f>
        <v>115.66666666666669</v>
      </c>
      <c r="J783" s="62" t="s">
        <v>60</v>
      </c>
      <c r="K783" s="1">
        <f>AA775*AA776*AB777*AB778 + AA775*AA777*AB776*AB778 + AA775*AA778*AB776*AB777 + AA776*AA777*AB775*AB778 + AA776*AA778*AB775*AB777 + AA777*AA778*AB775*AB776</f>
        <v>8.1240205053980307E-6</v>
      </c>
      <c r="L783" s="1">
        <f>AC778+2*L768-F778</f>
        <v>192.33333333333337</v>
      </c>
      <c r="M783" s="1">
        <f>B783*C783*AH775+E783*F783*AH776+H783*I783*AH777+K783*L783*AH778</f>
        <v>2821.9537563915969</v>
      </c>
      <c r="O783" s="1" t="s">
        <v>29</v>
      </c>
      <c r="P783" s="1">
        <f>2*(F768*(J766*K766+L766)+H768)</f>
        <v>28200</v>
      </c>
      <c r="Q783" s="1">
        <f t="shared" si="82"/>
        <v>0.47959063400802854</v>
      </c>
      <c r="R783" s="1">
        <f t="shared" si="83"/>
        <v>16903.171895612966</v>
      </c>
    </row>
    <row r="784" spans="1:34" ht="24.75" x14ac:dyDescent="0.25">
      <c r="A784" s="1"/>
      <c r="B784" s="1"/>
      <c r="C784" s="1"/>
      <c r="D784" s="1"/>
      <c r="E784" s="1"/>
      <c r="F784" s="1"/>
      <c r="G784" s="62" t="s">
        <v>52</v>
      </c>
      <c r="H784" s="1">
        <f>AB775*AB776*AB777</f>
        <v>0.99647625814420049</v>
      </c>
      <c r="I784" s="63">
        <f>AC777-F777</f>
        <v>103.66666666666669</v>
      </c>
      <c r="J784" s="62" t="s">
        <v>56</v>
      </c>
      <c r="K784" s="1">
        <f>AA775*AB776*AB777*AB778+AA776*AB775*AB777*AB778+AA777*AB775*AB776*AB778+AA778*AB775*AB776*AB777</f>
        <v>4.9296908829826423E-3</v>
      </c>
      <c r="L784" s="1">
        <f>AC778+1*L768-F778</f>
        <v>180.33333333333337</v>
      </c>
      <c r="M784" s="1">
        <f>B784*C784*AH775+E784*F784*AH776+H784*I784*AH777+K784*L784*AH778</f>
        <v>11422.713098849525</v>
      </c>
      <c r="O784" s="1" t="s">
        <v>30</v>
      </c>
      <c r="P784" s="1">
        <v>0</v>
      </c>
      <c r="Q784" s="1">
        <f t="shared" si="82"/>
        <v>0.47227004579025278</v>
      </c>
      <c r="R784" s="1">
        <f t="shared" si="83"/>
        <v>16645.157763877458</v>
      </c>
    </row>
    <row r="785" spans="1:20" ht="30" x14ac:dyDescent="0.25">
      <c r="I785" s="84"/>
      <c r="J785" s="62" t="s">
        <v>52</v>
      </c>
      <c r="K785" s="85">
        <f>AB775*AB776*AB777*AB778</f>
        <v>0.99506218061101326</v>
      </c>
      <c r="L785" s="1">
        <f>AC778+0*L768-F778</f>
        <v>168.33333333333337</v>
      </c>
      <c r="M785" s="1">
        <f>B785*C785*AH775+E785*F785*AH776+H785*I785*AH777+K785*L785*AH778</f>
        <v>11222.642960324547</v>
      </c>
      <c r="O785" s="64" t="s">
        <v>65</v>
      </c>
      <c r="P785" s="65">
        <f>SUM(P781:P784)</f>
        <v>37280</v>
      </c>
      <c r="Q785" s="96" t="s">
        <v>108</v>
      </c>
      <c r="R785" s="97">
        <f>SUM(R781:R784)</f>
        <v>60151.873293165001</v>
      </c>
    </row>
    <row r="786" spans="1:20" x14ac:dyDescent="0.25">
      <c r="L786" s="176" t="s">
        <v>63</v>
      </c>
      <c r="M786" s="177">
        <f>SUM(M781:M785)</f>
        <v>25473.229045014697</v>
      </c>
    </row>
    <row r="787" spans="1:20" x14ac:dyDescent="0.25">
      <c r="L787" s="176"/>
      <c r="M787" s="177"/>
    </row>
    <row r="788" spans="1:20" x14ac:dyDescent="0.25">
      <c r="A788" s="178" t="s">
        <v>90</v>
      </c>
      <c r="B788" s="178"/>
      <c r="C788" s="178"/>
      <c r="D788" s="178"/>
      <c r="E788" s="178"/>
      <c r="F788" s="178"/>
      <c r="G788" s="178"/>
      <c r="H788" s="178"/>
      <c r="I788" s="178"/>
      <c r="J788" s="178"/>
      <c r="K788" s="178"/>
      <c r="L788" s="178"/>
      <c r="M788" s="178"/>
      <c r="N788" s="178"/>
    </row>
    <row r="789" spans="1:20" ht="15.75" x14ac:dyDescent="0.25">
      <c r="A789" s="87" t="s">
        <v>86</v>
      </c>
      <c r="B789" s="62" t="s">
        <v>49</v>
      </c>
      <c r="C789" s="90" t="s">
        <v>103</v>
      </c>
      <c r="D789" s="62" t="s">
        <v>88</v>
      </c>
      <c r="E789" s="87" t="s">
        <v>75</v>
      </c>
      <c r="F789" s="62" t="s">
        <v>57</v>
      </c>
      <c r="G789" s="90" t="s">
        <v>87</v>
      </c>
      <c r="H789" s="62" t="s">
        <v>88</v>
      </c>
      <c r="I789" s="87" t="s">
        <v>77</v>
      </c>
      <c r="J789" s="62" t="s">
        <v>61</v>
      </c>
      <c r="K789" s="90" t="s">
        <v>78</v>
      </c>
      <c r="L789" s="62" t="s">
        <v>88</v>
      </c>
      <c r="M789" s="87" t="s">
        <v>76</v>
      </c>
      <c r="N789" s="62" t="s">
        <v>84</v>
      </c>
      <c r="O789" s="90" t="s">
        <v>102</v>
      </c>
      <c r="P789" s="62" t="s">
        <v>88</v>
      </c>
    </row>
    <row r="790" spans="1:20" ht="24.75" x14ac:dyDescent="0.25">
      <c r="A790" s="62" t="s">
        <v>51</v>
      </c>
      <c r="B790" s="86">
        <v>1.3060317021926209E-5</v>
      </c>
      <c r="C790" s="86">
        <f>AC775+1*L768</f>
        <v>81.666666666666671</v>
      </c>
      <c r="D790" s="86">
        <f>MAX(B790*1.5*((C790-F775)*500/2),0)</f>
        <v>0</v>
      </c>
      <c r="E790" s="62" t="s">
        <v>55</v>
      </c>
      <c r="F790" s="86">
        <v>2.3034833916578068E-8</v>
      </c>
      <c r="G790" s="86">
        <f>AC776+2*L768</f>
        <v>170.66666666666669</v>
      </c>
      <c r="H790" s="86">
        <f>F790*1.5*((G790-F776)*500/2+(G790-F777)*500+(G790-F778)*500)</f>
        <v>3.2421528737583642E-3</v>
      </c>
      <c r="I790" s="62" t="s">
        <v>59</v>
      </c>
      <c r="J790" s="86">
        <v>4.0312964624335279E-11</v>
      </c>
      <c r="K790" s="86">
        <f>AC777+3*L768</f>
        <v>245.66666666666669</v>
      </c>
      <c r="L790" s="86">
        <f>J790*1.5*((K790-G790)*500/2+(K790-G790)*500)</f>
        <v>3.4014063901782897E-6</v>
      </c>
      <c r="M790" s="62" t="s">
        <v>83</v>
      </c>
      <c r="N790" s="86">
        <v>5.7207241121436971E-14</v>
      </c>
      <c r="O790" s="86">
        <f>AC778+4*L768</f>
        <v>311.33333333333337</v>
      </c>
      <c r="P790" s="86">
        <f>N790*1.5*((O790-K790)*500/2)</f>
        <v>1.4087283126153857E-9</v>
      </c>
    </row>
    <row r="791" spans="1:20" ht="24.75" x14ac:dyDescent="0.25">
      <c r="A791" s="62" t="s">
        <v>52</v>
      </c>
      <c r="B791" s="86">
        <v>0.99998693968297803</v>
      </c>
      <c r="C791" s="88">
        <f>AC775</f>
        <v>69.666666666666671</v>
      </c>
      <c r="D791" s="86">
        <f>MAX(B791*1.5*((C791-F775)*500/2),0)</f>
        <v>0</v>
      </c>
      <c r="E791" s="62" t="s">
        <v>56</v>
      </c>
      <c r="F791" s="86">
        <v>1.7767412593329157E-3</v>
      </c>
      <c r="G791" s="86">
        <f>AC776+1*L768</f>
        <v>158.66666666666669</v>
      </c>
      <c r="H791" s="86">
        <f>F791*1.5*((G791-F776)*500/2+(G791-F777)*500+(G791-F778)*500)</f>
        <v>210.09965391611735</v>
      </c>
      <c r="I791" s="62" t="s">
        <v>60</v>
      </c>
      <c r="J791" s="86">
        <v>3.1324463969012761E-6</v>
      </c>
      <c r="K791" s="86">
        <f>AC777+2*L768</f>
        <v>233.66666666666669</v>
      </c>
      <c r="L791" s="86">
        <f>J791*1.5*((K791-G791)*500/2+(K791-G791)*500)</f>
        <v>0.26430016473854517</v>
      </c>
      <c r="M791" s="62" t="s">
        <v>59</v>
      </c>
      <c r="N791" s="86">
        <v>4.4204322784205748E-9</v>
      </c>
      <c r="O791" s="86">
        <f>AC778+3*L768</f>
        <v>299.33333333333337</v>
      </c>
      <c r="P791" s="86">
        <f>N791*1.5*((O791-K791)*500/2)</f>
        <v>1.0885314485610668E-4</v>
      </c>
    </row>
    <row r="792" spans="1:20" x14ac:dyDescent="0.25">
      <c r="A792" s="86"/>
      <c r="B792" s="86"/>
      <c r="C792" s="89" t="s">
        <v>89</v>
      </c>
      <c r="D792" s="89">
        <f>SUM(D790:D791)</f>
        <v>0</v>
      </c>
      <c r="E792" s="62" t="s">
        <v>52</v>
      </c>
      <c r="F792" s="86">
        <v>0.99822323570583316</v>
      </c>
      <c r="G792" s="86">
        <f>AC776+0*L768</f>
        <v>146.66666666666669</v>
      </c>
      <c r="H792" s="86">
        <f>F792*1.5*((G792-F776)*500/2+(G792-F777)*500+(G792-F778)*500)</f>
        <v>95579.874818833574</v>
      </c>
      <c r="I792" s="62" t="s">
        <v>56</v>
      </c>
      <c r="J792" s="86">
        <v>1.6090224799715454E-5</v>
      </c>
      <c r="K792" s="86">
        <f>AC777+1*L768</f>
        <v>221.66666666666669</v>
      </c>
      <c r="L792" s="86">
        <f>J792*1.5*((K792-G792)*500/2+(K792-G792)*500)</f>
        <v>1.3576127174759913</v>
      </c>
      <c r="M792" s="62" t="s">
        <v>60</v>
      </c>
      <c r="N792" s="86">
        <v>8.1240205053980307E-6</v>
      </c>
      <c r="O792" s="86">
        <f>AC778+2*L768</f>
        <v>287.33333333333337</v>
      </c>
      <c r="P792" s="86">
        <f>N792*1.5*((O792-K792)*500/2)</f>
        <v>0.20005400494542658</v>
      </c>
    </row>
    <row r="793" spans="1:20" x14ac:dyDescent="0.25">
      <c r="A793" s="86"/>
      <c r="B793" s="86"/>
      <c r="C793" s="86"/>
      <c r="D793" s="86"/>
      <c r="E793" s="86"/>
      <c r="F793" s="86"/>
      <c r="G793" s="89" t="s">
        <v>79</v>
      </c>
      <c r="H793" s="89">
        <f>SUM(H790:H792)</f>
        <v>95789.977714902561</v>
      </c>
      <c r="I793" s="62" t="s">
        <v>52</v>
      </c>
      <c r="J793" s="86">
        <v>0.99647625814420049</v>
      </c>
      <c r="K793" s="86">
        <f>AC777+0*L768</f>
        <v>209.66666666666669</v>
      </c>
      <c r="L793" s="86">
        <f>J793*1.5*((K793-G792)*500/2+(K793-G792)*500)</f>
        <v>70625.254795970206</v>
      </c>
      <c r="M793" s="62" t="s">
        <v>56</v>
      </c>
      <c r="N793" s="86">
        <v>4.9296908829826423E-3</v>
      </c>
      <c r="O793" s="86">
        <f>AC778+1*L768</f>
        <v>275.33333333333337</v>
      </c>
      <c r="P793" s="86">
        <f>N793*1.5*((O793-K793)*500/2)</f>
        <v>121.3936379934476</v>
      </c>
    </row>
    <row r="794" spans="1:20" x14ac:dyDescent="0.25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9" t="s">
        <v>79</v>
      </c>
      <c r="L794" s="89">
        <f>SUM(L790:L793)</f>
        <v>70626.876712253827</v>
      </c>
      <c r="M794" s="62" t="s">
        <v>52</v>
      </c>
      <c r="N794" s="86">
        <v>0.99506218061101326</v>
      </c>
      <c r="O794" s="86">
        <f>AC778+0*L768</f>
        <v>263.33333333333337</v>
      </c>
      <c r="P794" s="86">
        <f>N794*1.5*((O794-K793)*500/2)</f>
        <v>20025.626384796651</v>
      </c>
      <c r="Q794" s="179" t="s">
        <v>80</v>
      </c>
      <c r="R794" s="179"/>
      <c r="S794" s="180">
        <f>D792+H793+L794+P795</f>
        <v>186564.074612806</v>
      </c>
      <c r="T794" s="180"/>
    </row>
    <row r="795" spans="1:20" x14ac:dyDescent="0.25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9" t="s">
        <v>79</v>
      </c>
      <c r="P795" s="89">
        <f>SUM(P790:P794)</f>
        <v>20147.220185649599</v>
      </c>
      <c r="Q795" s="179"/>
      <c r="R795" s="179"/>
      <c r="S795" s="180"/>
      <c r="T795" s="180"/>
    </row>
    <row r="796" spans="1:20" x14ac:dyDescent="0.25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</row>
    <row r="797" spans="1:20" x14ac:dyDescent="0.25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</row>
    <row r="798" spans="1:20" x14ac:dyDescent="0.25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</row>
    <row r="799" spans="1:20" ht="24.75" thickBot="1" x14ac:dyDescent="0.3">
      <c r="O799" s="131" t="s">
        <v>81</v>
      </c>
      <c r="P799" s="131"/>
      <c r="Q799" s="131">
        <f>(R785+P785+M786+S794)/AC778</f>
        <v>1175.1994061429834</v>
      </c>
      <c r="R799" s="131"/>
    </row>
    <row r="800" spans="1:20" x14ac:dyDescent="0.25">
      <c r="A800" s="181" t="s">
        <v>126</v>
      </c>
      <c r="B800" s="182"/>
    </row>
    <row r="801" spans="1:34" ht="15.75" thickBot="1" x14ac:dyDescent="0.3">
      <c r="A801" s="183"/>
      <c r="B801" s="184"/>
    </row>
    <row r="802" spans="1:34" ht="21" x14ac:dyDescent="0.35">
      <c r="A802" s="185" t="s">
        <v>14</v>
      </c>
      <c r="B802" s="185"/>
      <c r="C802" s="165"/>
      <c r="D802" s="165"/>
      <c r="E802" s="165"/>
      <c r="F802" s="165"/>
      <c r="G802" s="165"/>
      <c r="H802" s="165"/>
      <c r="I802" s="165"/>
      <c r="J802" s="165"/>
      <c r="K802" s="165"/>
      <c r="L802" s="165"/>
      <c r="M802" s="165"/>
      <c r="O802" s="166" t="s">
        <v>72</v>
      </c>
      <c r="P802" s="166"/>
      <c r="Q802" s="166"/>
      <c r="R802" s="166"/>
      <c r="S802" s="166"/>
      <c r="T802" s="166"/>
      <c r="U802" s="166"/>
      <c r="V802" s="166"/>
    </row>
    <row r="803" spans="1:34" ht="36" x14ac:dyDescent="0.25">
      <c r="A803" s="4" t="s">
        <v>15</v>
      </c>
      <c r="B803" s="4" t="s">
        <v>16</v>
      </c>
      <c r="C803" s="4" t="s">
        <v>31</v>
      </c>
      <c r="D803" s="6" t="s">
        <v>17</v>
      </c>
      <c r="E803" s="6" t="s">
        <v>18</v>
      </c>
      <c r="F803" s="6" t="s">
        <v>19</v>
      </c>
      <c r="G803" s="6" t="s">
        <v>20</v>
      </c>
      <c r="H803" s="6" t="s">
        <v>21</v>
      </c>
      <c r="I803" s="6" t="s">
        <v>22</v>
      </c>
      <c r="J803" s="6" t="s">
        <v>23</v>
      </c>
      <c r="K803" s="6" t="s">
        <v>24</v>
      </c>
      <c r="L803" s="6" t="s">
        <v>25</v>
      </c>
      <c r="M803" s="6" t="s">
        <v>26</v>
      </c>
      <c r="N803" s="8"/>
      <c r="O803" s="167" t="s">
        <v>32</v>
      </c>
      <c r="P803" s="167" t="s">
        <v>35</v>
      </c>
      <c r="Q803" s="167" t="s">
        <v>66</v>
      </c>
      <c r="R803" s="99" t="s">
        <v>67</v>
      </c>
      <c r="S803" s="99" t="s">
        <v>68</v>
      </c>
      <c r="T803" s="167" t="s">
        <v>69</v>
      </c>
      <c r="U803" s="71" t="s">
        <v>33</v>
      </c>
      <c r="V803" s="99" t="s">
        <v>70</v>
      </c>
    </row>
    <row r="804" spans="1:34" x14ac:dyDescent="0.25">
      <c r="A804" s="3" t="s">
        <v>27</v>
      </c>
      <c r="B804" s="3">
        <v>0</v>
      </c>
      <c r="C804" s="3">
        <v>0.3</v>
      </c>
      <c r="D804" s="3">
        <v>243</v>
      </c>
      <c r="E804" s="3">
        <v>1.73</v>
      </c>
      <c r="F804" s="3">
        <v>5</v>
      </c>
      <c r="G804" s="169">
        <v>12</v>
      </c>
      <c r="H804" s="3">
        <v>1820</v>
      </c>
      <c r="I804" s="169">
        <v>19645</v>
      </c>
      <c r="J804" s="3">
        <v>20</v>
      </c>
      <c r="K804" s="3">
        <v>40</v>
      </c>
      <c r="L804" s="3">
        <v>500</v>
      </c>
      <c r="M804" s="3">
        <v>1000</v>
      </c>
      <c r="O804" s="168"/>
      <c r="P804" s="168"/>
      <c r="Q804" s="168"/>
      <c r="R804" s="72" t="s">
        <v>71</v>
      </c>
      <c r="S804" s="72" t="s">
        <v>71</v>
      </c>
      <c r="T804" s="168"/>
      <c r="U804" s="73">
        <v>500</v>
      </c>
      <c r="V804" s="3">
        <v>1.5</v>
      </c>
    </row>
    <row r="805" spans="1:34" x14ac:dyDescent="0.25">
      <c r="A805" s="3" t="s">
        <v>28</v>
      </c>
      <c r="B805" s="3">
        <v>0</v>
      </c>
      <c r="C805" s="3">
        <v>0.3</v>
      </c>
      <c r="D805" s="3">
        <v>254</v>
      </c>
      <c r="E805" s="3">
        <v>1.88</v>
      </c>
      <c r="F805" s="3">
        <v>3</v>
      </c>
      <c r="G805" s="170"/>
      <c r="H805" s="3">
        <v>2720</v>
      </c>
      <c r="I805" s="170"/>
      <c r="J805" s="5"/>
      <c r="K805" s="5"/>
      <c r="L805" s="5"/>
      <c r="M805" s="5"/>
      <c r="O805" s="74">
        <v>1</v>
      </c>
      <c r="P805" s="74">
        <v>106</v>
      </c>
      <c r="Q805" s="74">
        <v>110</v>
      </c>
      <c r="R805" s="74">
        <v>6</v>
      </c>
      <c r="S805" s="74">
        <v>5</v>
      </c>
      <c r="T805" s="74">
        <f>R805*$U$5/60+S805</f>
        <v>55</v>
      </c>
      <c r="U805" s="75"/>
    </row>
    <row r="806" spans="1:34" x14ac:dyDescent="0.25">
      <c r="A806" s="3" t="s">
        <v>29</v>
      </c>
      <c r="B806" s="3">
        <v>0</v>
      </c>
      <c r="C806" s="3">
        <v>0.3</v>
      </c>
      <c r="D806" s="3">
        <v>143</v>
      </c>
      <c r="E806" s="3">
        <v>2.4300000000000002</v>
      </c>
      <c r="F806" s="3">
        <v>8</v>
      </c>
      <c r="G806" s="170"/>
      <c r="H806" s="3">
        <v>3700</v>
      </c>
      <c r="I806" s="170"/>
      <c r="J806" s="5"/>
      <c r="K806" s="140" t="s">
        <v>73</v>
      </c>
      <c r="L806" s="141">
        <v>12</v>
      </c>
      <c r="M806" s="140" t="s">
        <v>74</v>
      </c>
      <c r="N806" s="141">
        <v>19645</v>
      </c>
      <c r="O806" s="74">
        <v>2</v>
      </c>
      <c r="P806" s="74">
        <v>76</v>
      </c>
      <c r="Q806" s="74">
        <v>40</v>
      </c>
      <c r="R806" s="74">
        <v>9</v>
      </c>
      <c r="S806" s="74">
        <v>2</v>
      </c>
      <c r="T806" s="74">
        <f t="shared" ref="T806:T808" si="84">R806*$U$5/60+S806</f>
        <v>77</v>
      </c>
      <c r="U806" s="75"/>
    </row>
    <row r="807" spans="1:34" x14ac:dyDescent="0.25">
      <c r="A807" s="3" t="s">
        <v>30</v>
      </c>
      <c r="B807" s="3">
        <v>0</v>
      </c>
      <c r="C807" s="3">
        <v>0.3</v>
      </c>
      <c r="D807" s="3">
        <v>449</v>
      </c>
      <c r="E807" s="3">
        <v>2.5299999999999998</v>
      </c>
      <c r="F807" s="3">
        <v>4</v>
      </c>
      <c r="G807" s="171"/>
      <c r="H807" s="3">
        <v>4320</v>
      </c>
      <c r="I807" s="171"/>
      <c r="J807" s="5"/>
      <c r="K807" s="140"/>
      <c r="L807" s="141"/>
      <c r="M807" s="140"/>
      <c r="N807" s="141"/>
      <c r="O807" s="74">
        <v>3</v>
      </c>
      <c r="P807" s="74">
        <v>95</v>
      </c>
      <c r="Q807" s="74">
        <v>67</v>
      </c>
      <c r="R807" s="74">
        <v>5</v>
      </c>
      <c r="S807" s="74">
        <v>4</v>
      </c>
      <c r="T807" s="74">
        <f t="shared" si="84"/>
        <v>45.666666666666664</v>
      </c>
      <c r="U807" s="75"/>
    </row>
    <row r="808" spans="1:34" ht="15.75" thickBo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O808" s="74">
        <v>4</v>
      </c>
      <c r="P808" s="74">
        <v>140</v>
      </c>
      <c r="Q808" s="94">
        <v>85</v>
      </c>
      <c r="R808" s="94">
        <v>8</v>
      </c>
      <c r="S808" s="94">
        <v>3</v>
      </c>
      <c r="T808" s="74">
        <f t="shared" si="84"/>
        <v>69.666666666666671</v>
      </c>
    </row>
    <row r="809" spans="1:34" ht="15" customHeight="1" x14ac:dyDescent="0.25">
      <c r="A809" s="172" t="s">
        <v>104</v>
      </c>
      <c r="B809" s="144" t="s">
        <v>105</v>
      </c>
      <c r="C809" s="144"/>
      <c r="D809" s="144"/>
      <c r="E809" s="144"/>
      <c r="F809" s="20" t="s">
        <v>27</v>
      </c>
      <c r="G809" s="20" t="s">
        <v>28</v>
      </c>
      <c r="H809" s="20" t="s">
        <v>29</v>
      </c>
      <c r="I809" s="20" t="s">
        <v>30</v>
      </c>
    </row>
    <row r="810" spans="1:34" ht="15.75" customHeight="1" thickBot="1" x14ac:dyDescent="0.3">
      <c r="A810" s="173"/>
      <c r="B810" s="145"/>
      <c r="C810" s="145"/>
      <c r="D810" s="145"/>
      <c r="E810" s="145"/>
      <c r="F810" s="20">
        <v>84</v>
      </c>
      <c r="G810" s="26">
        <v>84</v>
      </c>
      <c r="H810" s="26">
        <v>84</v>
      </c>
      <c r="I810" s="26">
        <v>252</v>
      </c>
    </row>
    <row r="811" spans="1:34" ht="15.75" customHeight="1" thickBot="1" x14ac:dyDescent="0.3">
      <c r="A811" s="173"/>
      <c r="B811" s="145"/>
      <c r="C811" s="145"/>
      <c r="D811" s="145"/>
      <c r="E811" s="145"/>
      <c r="F811" s="7"/>
      <c r="G811" s="146" t="s">
        <v>27</v>
      </c>
      <c r="H811" s="147"/>
      <c r="I811" s="147"/>
      <c r="J811" s="147"/>
      <c r="K811" s="148"/>
      <c r="L811" s="149" t="s">
        <v>28</v>
      </c>
      <c r="M811" s="150"/>
      <c r="N811" s="150"/>
      <c r="O811" s="150"/>
      <c r="P811" s="151"/>
      <c r="Q811" s="152" t="s">
        <v>29</v>
      </c>
      <c r="R811" s="153"/>
      <c r="S811" s="153"/>
      <c r="T811" s="153"/>
      <c r="U811" s="154"/>
      <c r="V811" s="155" t="s">
        <v>30</v>
      </c>
      <c r="W811" s="156"/>
      <c r="X811" s="156"/>
      <c r="Y811" s="156"/>
      <c r="Z811" s="157"/>
      <c r="AA811" s="158" t="s">
        <v>42</v>
      </c>
      <c r="AB811" s="159"/>
      <c r="AC811" s="160" t="s">
        <v>44</v>
      </c>
      <c r="AD811" s="162" t="s">
        <v>47</v>
      </c>
      <c r="AE811" s="163"/>
      <c r="AF811" s="163"/>
      <c r="AG811" s="164"/>
      <c r="AH811" s="138" t="s">
        <v>62</v>
      </c>
    </row>
    <row r="812" spans="1:34" ht="36.75" x14ac:dyDescent="0.25">
      <c r="A812" s="21" t="s">
        <v>32</v>
      </c>
      <c r="B812" s="22" t="s">
        <v>37</v>
      </c>
      <c r="C812" s="23" t="s">
        <v>33</v>
      </c>
      <c r="D812" s="22" t="s">
        <v>38</v>
      </c>
      <c r="E812" s="22" t="s">
        <v>34</v>
      </c>
      <c r="F812" s="25" t="s">
        <v>35</v>
      </c>
      <c r="G812" s="27" t="s">
        <v>39</v>
      </c>
      <c r="H812" s="10" t="s">
        <v>40</v>
      </c>
      <c r="I812" s="10" t="s">
        <v>45</v>
      </c>
      <c r="J812" s="10" t="s">
        <v>46</v>
      </c>
      <c r="K812" s="28" t="s">
        <v>41</v>
      </c>
      <c r="L812" s="30" t="s">
        <v>39</v>
      </c>
      <c r="M812" s="13" t="s">
        <v>40</v>
      </c>
      <c r="N812" s="13" t="s">
        <v>45</v>
      </c>
      <c r="O812" s="13" t="s">
        <v>46</v>
      </c>
      <c r="P812" s="31" t="s">
        <v>41</v>
      </c>
      <c r="Q812" s="33" t="s">
        <v>39</v>
      </c>
      <c r="R812" s="12" t="s">
        <v>40</v>
      </c>
      <c r="S812" s="12" t="s">
        <v>45</v>
      </c>
      <c r="T812" s="12" t="s">
        <v>46</v>
      </c>
      <c r="U812" s="34" t="s">
        <v>41</v>
      </c>
      <c r="V812" s="36" t="s">
        <v>39</v>
      </c>
      <c r="W812" s="11" t="s">
        <v>40</v>
      </c>
      <c r="X812" s="11" t="s">
        <v>45</v>
      </c>
      <c r="Y812" s="11" t="s">
        <v>46</v>
      </c>
      <c r="Z812" s="37" t="s">
        <v>41</v>
      </c>
      <c r="AA812" s="39" t="s">
        <v>41</v>
      </c>
      <c r="AB812" s="40" t="s">
        <v>43</v>
      </c>
      <c r="AC812" s="161"/>
      <c r="AD812" s="43" t="s">
        <v>27</v>
      </c>
      <c r="AE812" s="1" t="s">
        <v>28</v>
      </c>
      <c r="AF812" s="1" t="s">
        <v>29</v>
      </c>
      <c r="AG812" s="1" t="s">
        <v>30</v>
      </c>
      <c r="AH812" s="139"/>
    </row>
    <row r="813" spans="1:34" x14ac:dyDescent="0.25">
      <c r="A813" s="24">
        <v>4</v>
      </c>
      <c r="B813" s="9">
        <v>8</v>
      </c>
      <c r="C813" s="9">
        <v>500</v>
      </c>
      <c r="D813" s="9">
        <v>3</v>
      </c>
      <c r="E813" s="48">
        <f>B813*C813/60+D813</f>
        <v>69.666666666666671</v>
      </c>
      <c r="F813" s="100">
        <v>140</v>
      </c>
      <c r="G813" s="49">
        <f>B$5*(1-AD813*C$5)</f>
        <v>0</v>
      </c>
      <c r="H813" s="50">
        <f>G813+E813</f>
        <v>69.666666666666671</v>
      </c>
      <c r="I813" s="15">
        <f>(H813/D$5)^E$5</f>
        <v>0.11516869637804684</v>
      </c>
      <c r="J813" s="15">
        <f>(G813/D$5)^E$5</f>
        <v>0</v>
      </c>
      <c r="K813" s="29">
        <f>1-EXP(J813-I813)</f>
        <v>0.10878421365041502</v>
      </c>
      <c r="L813" s="51">
        <f>B$6*(1-AE813*C$6)</f>
        <v>0</v>
      </c>
      <c r="M813" s="52">
        <f>L813+E813</f>
        <v>69.666666666666671</v>
      </c>
      <c r="N813" s="17">
        <f>(M813/D$6)^E$6</f>
        <v>8.7861714115895329E-2</v>
      </c>
      <c r="O813" s="17">
        <f>(L813/D$6)^E$6</f>
        <v>0</v>
      </c>
      <c r="P813" s="32">
        <f>1-EXP(O813-N813)</f>
        <v>8.4112477717763534E-2</v>
      </c>
      <c r="Q813" s="53">
        <f>B$7*(1-AF813*C$7)</f>
        <v>0</v>
      </c>
      <c r="R813" s="54">
        <f>Q813+E813</f>
        <v>69.666666666666671</v>
      </c>
      <c r="S813" s="16">
        <f>(R813/D$7)^E$7</f>
        <v>0.17421448251746105</v>
      </c>
      <c r="T813" s="16">
        <f>(Q813/D$7)^E$7</f>
        <v>0</v>
      </c>
      <c r="U813" s="35">
        <f>1-EXP(T813-S813)</f>
        <v>0.15988331200899064</v>
      </c>
      <c r="V813" s="55">
        <f>B$8*(1-AG813*C$8)</f>
        <v>0</v>
      </c>
      <c r="W813" s="56">
        <f>V813+E813</f>
        <v>69.666666666666671</v>
      </c>
      <c r="X813" s="18">
        <f>(W813/D$8)^E$8</f>
        <v>8.9674731846197935E-3</v>
      </c>
      <c r="Y813" s="18">
        <f>(V813/D$8)^E$8</f>
        <v>0</v>
      </c>
      <c r="Z813" s="38">
        <f>1-EXP(Y813-X813)</f>
        <v>8.9273853154187011E-3</v>
      </c>
      <c r="AA813" s="41">
        <f>K813*P813*U813*Z813</f>
        <v>1.3060317021926209E-5</v>
      </c>
      <c r="AB813" s="42">
        <f>1-AA813</f>
        <v>0.99998693968297803</v>
      </c>
      <c r="AC813" s="47">
        <f>(AD813*F$5+AE813*F$6+AF813*F$7+AG813*F$8)+E813</f>
        <v>69.666666666666671</v>
      </c>
      <c r="AD813" s="43">
        <v>0</v>
      </c>
      <c r="AE813" s="1">
        <v>0</v>
      </c>
      <c r="AF813" s="1">
        <v>0</v>
      </c>
      <c r="AG813" s="1">
        <v>0</v>
      </c>
      <c r="AH813" s="74">
        <v>85</v>
      </c>
    </row>
    <row r="814" spans="1:34" x14ac:dyDescent="0.25">
      <c r="A814" s="76">
        <v>2</v>
      </c>
      <c r="B814" s="58">
        <v>9</v>
      </c>
      <c r="C814" s="9">
        <v>500</v>
      </c>
      <c r="D814" s="58">
        <v>2</v>
      </c>
      <c r="E814" s="48">
        <f t="shared" ref="E814:E816" si="85">B814*C814/60+D814</f>
        <v>77</v>
      </c>
      <c r="F814" s="100">
        <v>76</v>
      </c>
      <c r="G814" s="49">
        <f>H813*(1-AD814*C$5)</f>
        <v>69.666666666666671</v>
      </c>
      <c r="H814" s="50">
        <f>G814+E814</f>
        <v>146.66666666666669</v>
      </c>
      <c r="I814" s="15">
        <f>(H814/D$5)^E$5</f>
        <v>0.41749810283193062</v>
      </c>
      <c r="J814" s="15">
        <f>(G814/D$5)^E$5</f>
        <v>0.11516869637804684</v>
      </c>
      <c r="K814" s="29">
        <f>1-EXP(J814-I814)</f>
        <v>0.26090543773277519</v>
      </c>
      <c r="L814" s="51">
        <f>M813*(1-AE814*C$6)</f>
        <v>69.666666666666671</v>
      </c>
      <c r="M814" s="52">
        <f>L814+E814</f>
        <v>146.66666666666669</v>
      </c>
      <c r="N814" s="17">
        <f>(M814/D$6)^E$6</f>
        <v>0.35613584348340649</v>
      </c>
      <c r="O814" s="17">
        <f>(L814/D$6)^E$6</f>
        <v>8.7861714115895329E-2</v>
      </c>
      <c r="P814" s="32">
        <f>1-EXP(O814-N814)</f>
        <v>0.23530187384577195</v>
      </c>
      <c r="Q814" s="53">
        <f>R813*(1-AF814*C$7)</f>
        <v>69.666666666666671</v>
      </c>
      <c r="R814" s="54">
        <f>Q814+E814</f>
        <v>146.66666666666669</v>
      </c>
      <c r="S814" s="16">
        <f>(R814/D$7)^E$7</f>
        <v>1.0634541830073496</v>
      </c>
      <c r="T814" s="16">
        <f>(Q814/D$7)^E$7</f>
        <v>0.17421448251746105</v>
      </c>
      <c r="U814" s="35">
        <f>1-EXP(T814-S814)</f>
        <v>0.58903190715905007</v>
      </c>
      <c r="V814" s="55">
        <f>W813*(1-AG814*C$8)</f>
        <v>69.666666666666671</v>
      </c>
      <c r="W814" s="56">
        <f>V814+E814</f>
        <v>146.66666666666669</v>
      </c>
      <c r="X814" s="18">
        <f>(W814/D$8)^E$8</f>
        <v>5.897056032024859E-2</v>
      </c>
      <c r="Y814" s="18">
        <f>(V814/D$8)^E$8</f>
        <v>8.9674731846197935E-3</v>
      </c>
      <c r="Z814" s="38">
        <f>1-EXP(Y814-X814)</f>
        <v>4.8773512069000713E-2</v>
      </c>
      <c r="AA814" s="41">
        <f>K814*P814*U814*Z814</f>
        <v>1.7637270119788228E-3</v>
      </c>
      <c r="AB814" s="42">
        <f>1-AA814</f>
        <v>0.9982362729880212</v>
      </c>
      <c r="AC814" s="47">
        <f>AF814*F$7+E814+AC813</f>
        <v>146.66666666666669</v>
      </c>
      <c r="AD814" s="43">
        <v>0</v>
      </c>
      <c r="AE814" s="1">
        <v>0</v>
      </c>
      <c r="AF814" s="1">
        <v>0</v>
      </c>
      <c r="AG814" s="1">
        <v>0</v>
      </c>
      <c r="AH814" s="74">
        <v>40</v>
      </c>
    </row>
    <row r="815" spans="1:34" x14ac:dyDescent="0.25">
      <c r="A815" s="24">
        <v>3</v>
      </c>
      <c r="B815" s="9">
        <v>5</v>
      </c>
      <c r="C815" s="58">
        <v>500</v>
      </c>
      <c r="D815" s="58">
        <v>4</v>
      </c>
      <c r="E815" s="48">
        <f t="shared" si="85"/>
        <v>45.666666666666664</v>
      </c>
      <c r="F815" s="100">
        <v>95</v>
      </c>
      <c r="G815" s="68">
        <f>H814*(1-AD815*C$5)</f>
        <v>102.66666666666667</v>
      </c>
      <c r="H815" s="69">
        <f>G815+E815</f>
        <v>148.33333333333334</v>
      </c>
      <c r="I815" s="70">
        <f>(H815/D$5)^E$5</f>
        <v>0.42573974432201439</v>
      </c>
      <c r="J815" s="70">
        <f>(G815/D$5)^E$5</f>
        <v>0.22525483181366224</v>
      </c>
      <c r="K815" s="29">
        <f>1-EXP(J815-I815)</f>
        <v>0.18166616346248299</v>
      </c>
      <c r="L815" s="51">
        <f>M814*(1-AE815*C$6)</f>
        <v>102.66666666666667</v>
      </c>
      <c r="M815" s="52">
        <f>L815+E815</f>
        <v>148.33333333333334</v>
      </c>
      <c r="N815" s="17">
        <f>(M815/D$6)^E$6</f>
        <v>0.36378222468595994</v>
      </c>
      <c r="O815" s="17">
        <f>(L815/D$6)^E$6</f>
        <v>0.18213776408892768</v>
      </c>
      <c r="P815" s="32">
        <f>1-EXP(O815-N815)</f>
        <v>0.16610222876808511</v>
      </c>
      <c r="Q815" s="53">
        <f>R814*(1-AF815*C$7)</f>
        <v>102.66666666666667</v>
      </c>
      <c r="R815" s="54">
        <f>Q815+E815</f>
        <v>148.33333333333334</v>
      </c>
      <c r="S815" s="16">
        <f>(R815/D$7)^E$7</f>
        <v>1.0930590055302554</v>
      </c>
      <c r="T815" s="16">
        <f>(Q815/D$7)^E$7</f>
        <v>0.44699948326797367</v>
      </c>
      <c r="U815" s="35">
        <f>1-EXP(T815-S815)</f>
        <v>0.4758930551511471</v>
      </c>
      <c r="V815" s="55">
        <f>W814*(1-AG815*C$8)</f>
        <v>146.66666666666669</v>
      </c>
      <c r="W815" s="56">
        <f>V815+E815</f>
        <v>192.33333333333334</v>
      </c>
      <c r="X815" s="18">
        <f>(W815/D$8)^E$8</f>
        <v>0.11707786390726455</v>
      </c>
      <c r="Y815" s="18">
        <f>(V815/D$8)^E$8</f>
        <v>5.897056032024859E-2</v>
      </c>
      <c r="Z815" s="38">
        <f>1-EXP(Y815-X815)</f>
        <v>5.6451304155022197E-2</v>
      </c>
      <c r="AA815" s="41">
        <f>K815*P815*U815*Z815</f>
        <v>8.1064899962540716E-4</v>
      </c>
      <c r="AB815" s="42">
        <f>1-AA815</f>
        <v>0.99918935100037465</v>
      </c>
      <c r="AC815" s="47">
        <f>(AF815*F$7)+E815+AC814</f>
        <v>200.33333333333334</v>
      </c>
      <c r="AD815" s="77">
        <v>1</v>
      </c>
      <c r="AE815" s="78">
        <v>1</v>
      </c>
      <c r="AF815" s="78">
        <v>1</v>
      </c>
      <c r="AG815" s="78">
        <v>0</v>
      </c>
      <c r="AH815" s="74">
        <v>67</v>
      </c>
    </row>
    <row r="816" spans="1:34" ht="15.75" thickBot="1" x14ac:dyDescent="0.3">
      <c r="A816" s="57">
        <v>1</v>
      </c>
      <c r="B816" s="58">
        <v>6</v>
      </c>
      <c r="C816" s="58">
        <v>500</v>
      </c>
      <c r="D816" s="9">
        <v>5</v>
      </c>
      <c r="E816" s="48">
        <f t="shared" si="85"/>
        <v>55</v>
      </c>
      <c r="F816" s="100">
        <v>106</v>
      </c>
      <c r="G816" s="68">
        <f>H815*(1-AD816*C$5)</f>
        <v>103.83333333333333</v>
      </c>
      <c r="H816" s="69">
        <f>G816+E816</f>
        <v>158.83333333333331</v>
      </c>
      <c r="I816" s="70">
        <f>(H816/D$5)^E$5</f>
        <v>0.47921477720274397</v>
      </c>
      <c r="J816" s="70">
        <f>(G816/D$5)^E$5</f>
        <v>0.22970148571490079</v>
      </c>
      <c r="K816" s="29">
        <f>1-EXP(J816-I816)</f>
        <v>0.22082007570005269</v>
      </c>
      <c r="L816" s="51">
        <f>M815*(1-AE816*C$6)</f>
        <v>103.83333333333333</v>
      </c>
      <c r="M816" s="52">
        <f>L816+E816</f>
        <v>158.83333333333331</v>
      </c>
      <c r="N816" s="17">
        <f>(M816/D$6)^E$6</f>
        <v>0.41369751790718035</v>
      </c>
      <c r="O816" s="17">
        <f>(L816/D$6)^E$6</f>
        <v>0.1860483358583474</v>
      </c>
      <c r="P816" s="32">
        <f>1-EXP(O816-N816)</f>
        <v>0.203596396486313</v>
      </c>
      <c r="Q816" s="53">
        <f>R815*(1-AF816*C$7)</f>
        <v>103.83333333333333</v>
      </c>
      <c r="R816" s="54">
        <f>Q816+E816</f>
        <v>158.83333333333331</v>
      </c>
      <c r="S816" s="16">
        <f>(R816/D$7)^E$7</f>
        <v>1.2906890901009902</v>
      </c>
      <c r="T816" s="16">
        <f>(Q816/D$7)^E$7</f>
        <v>0.45944321669949417</v>
      </c>
      <c r="U816" s="35">
        <f>1-EXP(T816-S816)</f>
        <v>0.56449363760856475</v>
      </c>
      <c r="V816" s="55">
        <f>W815*(1-AG816*C$8)</f>
        <v>192.33333333333334</v>
      </c>
      <c r="W816" s="56">
        <f>V816+E816</f>
        <v>247.33333333333334</v>
      </c>
      <c r="X816" s="18">
        <f>(W816/D$8)^E$8</f>
        <v>0.22121871391987213</v>
      </c>
      <c r="Y816" s="18">
        <f>(V816/D$8)^E$8</f>
        <v>0.11707786390726455</v>
      </c>
      <c r="Z816" s="38">
        <f>1-EXP(Y816-X816)</f>
        <v>9.8901631234138088E-2</v>
      </c>
      <c r="AA816" s="41">
        <f>K816*P816*U816*Z816</f>
        <v>2.5099851238137723E-3</v>
      </c>
      <c r="AB816" s="42">
        <f>1-AA816</f>
        <v>0.99749001487618627</v>
      </c>
      <c r="AC816" s="47">
        <f>(AF816*F$7)+E816+AC815</f>
        <v>263.33333333333337</v>
      </c>
      <c r="AD816" s="80">
        <v>1</v>
      </c>
      <c r="AE816" s="45">
        <v>1</v>
      </c>
      <c r="AF816" s="81">
        <v>1</v>
      </c>
      <c r="AG816" s="45">
        <v>0</v>
      </c>
      <c r="AH816" s="94">
        <v>110</v>
      </c>
    </row>
    <row r="817" spans="1:33" ht="18.75" x14ac:dyDescent="0.3">
      <c r="A817" s="132" t="s">
        <v>53</v>
      </c>
      <c r="B817" s="132"/>
      <c r="C817" s="132"/>
      <c r="D817" s="132"/>
      <c r="E817" s="132"/>
      <c r="F817" s="132"/>
      <c r="G817" s="132"/>
      <c r="H817" s="132"/>
      <c r="I817" s="132"/>
      <c r="J817" s="132"/>
      <c r="AG817" s="46"/>
    </row>
    <row r="818" spans="1:33" ht="15.75" x14ac:dyDescent="0.25">
      <c r="A818" s="19" t="s">
        <v>82</v>
      </c>
      <c r="B818" s="60" t="s">
        <v>49</v>
      </c>
      <c r="C818" s="61" t="s">
        <v>50</v>
      </c>
      <c r="D818" s="19" t="s">
        <v>48</v>
      </c>
      <c r="E818" s="60" t="s">
        <v>57</v>
      </c>
      <c r="F818" s="61" t="s">
        <v>50</v>
      </c>
      <c r="G818" s="19" t="s">
        <v>54</v>
      </c>
      <c r="H818" s="60" t="s">
        <v>61</v>
      </c>
      <c r="I818" s="61" t="s">
        <v>50</v>
      </c>
      <c r="J818" s="19" t="s">
        <v>58</v>
      </c>
      <c r="K818" s="83" t="s">
        <v>84</v>
      </c>
      <c r="L818" s="61" t="s">
        <v>50</v>
      </c>
      <c r="M818" s="61" t="s">
        <v>85</v>
      </c>
      <c r="O818" s="174" t="s">
        <v>64</v>
      </c>
      <c r="P818" s="174"/>
      <c r="Q818" s="175" t="s">
        <v>109</v>
      </c>
      <c r="R818" s="175"/>
    </row>
    <row r="819" spans="1:33" ht="24.75" x14ac:dyDescent="0.25">
      <c r="A819" s="61" t="s">
        <v>51</v>
      </c>
      <c r="B819" s="1">
        <f>AA813</f>
        <v>1.3060317021926209E-5</v>
      </c>
      <c r="C819" s="59">
        <f>MAX(AC813+1*L806-F813,0)</f>
        <v>0</v>
      </c>
      <c r="D819" s="62" t="s">
        <v>55</v>
      </c>
      <c r="E819" s="1">
        <f>AA813*AA814</f>
        <v>2.3034833916578068E-8</v>
      </c>
      <c r="F819" s="1">
        <f>MAX(AC814+2*L806-F814,0)</f>
        <v>94.666666666666686</v>
      </c>
      <c r="G819" s="62" t="s">
        <v>59</v>
      </c>
      <c r="H819" s="1">
        <f>AA813*AA814*AA815</f>
        <v>1.867316507101141E-11</v>
      </c>
      <c r="I819" s="1">
        <f>AC815+3*L806-F815</f>
        <v>141.33333333333334</v>
      </c>
      <c r="J819" s="62" t="s">
        <v>83</v>
      </c>
      <c r="K819" s="1">
        <f>AA813*AA814*AA815*AA816</f>
        <v>4.6869366542757584E-14</v>
      </c>
      <c r="L819" s="1">
        <f>AC816+4*L806-F816</f>
        <v>205.33333333333337</v>
      </c>
      <c r="M819" s="1">
        <f>B819*C819*AH813+E819*F819*AH814+H819*I819*AH815+K819*L819*AH816</f>
        <v>8.7403118811313709E-5</v>
      </c>
      <c r="O819" s="1" t="s">
        <v>27</v>
      </c>
      <c r="P819" s="1">
        <f>2*H804</f>
        <v>3640</v>
      </c>
      <c r="Q819" s="1">
        <f>(K813*(1-P813)*(1-U813)*(1-Z813))+(P813*(1-K813)*(1-U813)*(1-Z813))+(U813*(1-K813)*(1-P813)*(1-Z813))+(Z813*(1-K813)*(1-P813)*(1-U813))</f>
        <v>0.28083409477630866</v>
      </c>
      <c r="R819" s="1">
        <f>Q819*(L$7*(J$5*K$5+L$5)+I$5)</f>
        <v>9897.9976703909997</v>
      </c>
    </row>
    <row r="820" spans="1:33" ht="24.75" x14ac:dyDescent="0.25">
      <c r="A820" s="62" t="s">
        <v>52</v>
      </c>
      <c r="B820" s="1">
        <f>AB813</f>
        <v>0.99998693968297803</v>
      </c>
      <c r="C820" s="59">
        <f>MAX(AC813-F813,0)</f>
        <v>0</v>
      </c>
      <c r="D820" s="62" t="s">
        <v>56</v>
      </c>
      <c r="E820" s="1">
        <f>AA813*AB814+AA814*AB813</f>
        <v>1.7767412593329157E-3</v>
      </c>
      <c r="F820" s="1">
        <f>MAX(AC814+1*L806-F814,0)</f>
        <v>82.666666666666686</v>
      </c>
      <c r="G820" s="62" t="s">
        <v>60</v>
      </c>
      <c r="H820" s="1">
        <f>AA813*AA814*AB815+AA814*AA815*AB813+AA813*AA815*AB814</f>
        <v>1.4633296852229213E-6</v>
      </c>
      <c r="I820" s="1">
        <f>AC815+2*L806-F815</f>
        <v>129.33333333333334</v>
      </c>
      <c r="J820" s="62" t="s">
        <v>59</v>
      </c>
      <c r="K820">
        <f>AB813*AA814*AA815*AA816+AB814*AA813*AA815*AA816*+AB815*AA813*AA814*AA816+AB816*AA813*AA814*AA815</f>
        <v>3.6072646369718893E-9</v>
      </c>
      <c r="L820" s="1">
        <f>AC816+3*L806-F816</f>
        <v>193.33333333333337</v>
      </c>
      <c r="M820" s="1">
        <f>B820*C820*AH813+E820*F820*AH814+H820*I820*AH815+K820*L820*AH816</f>
        <v>5.8878480515211402</v>
      </c>
      <c r="O820" s="1" t="s">
        <v>28</v>
      </c>
      <c r="P820" s="1">
        <f>2*H805</f>
        <v>5440</v>
      </c>
      <c r="Q820" s="1">
        <f t="shared" ref="Q820:Q822" si="86">(K814*(1-P814)*(1-U814)*(1-Z814))+(P814*(1-K814)*(1-U814)*(1-Z814))+(U814*(1-K814)*(1-P814)*(1-Z814))+(Z814*(1-K814)*(1-P814)*(1-U814))</f>
        <v>0.47398342923204934</v>
      </c>
      <c r="R820" s="1">
        <f t="shared" ref="R820:R822" si="87">Q820*(L$7*(J$5*K$5+L$5)+I$5)</f>
        <v>16705.545963283577</v>
      </c>
    </row>
    <row r="821" spans="1:33" ht="24.75" x14ac:dyDescent="0.25">
      <c r="A821" s="1"/>
      <c r="B821" s="1"/>
      <c r="C821" s="1"/>
      <c r="D821" s="62" t="s">
        <v>52</v>
      </c>
      <c r="E821" s="1">
        <f>AB813*AB814</f>
        <v>0.99822323570583316</v>
      </c>
      <c r="F821" s="59">
        <f>MAX(AC814-F814,0)</f>
        <v>70.666666666666686</v>
      </c>
      <c r="G821" s="62" t="s">
        <v>56</v>
      </c>
      <c r="H821" s="1">
        <f>AA813*AB814*AB815+AA814*AB813*AB815*+AA815*AB813*AB814</f>
        <v>1.4452761111391846E-5</v>
      </c>
      <c r="I821" s="1">
        <f>AC815+1*L806-F815</f>
        <v>117.33333333333334</v>
      </c>
      <c r="J821" s="62" t="s">
        <v>60</v>
      </c>
      <c r="K821" s="1">
        <f>AA813*AA814*AB815*AB816 + AA813*AA815*AB814*AB816 + AA813*AA816*AB814*AB815 + AA814*AA815*AB813*AB816 + AA814*AA816*AB813*AB815 + AA815*AA816*AB813*AB814</f>
        <v>7.9467374310583644E-6</v>
      </c>
      <c r="L821" s="1">
        <f>AC816+2*L806-F816</f>
        <v>181.33333333333337</v>
      </c>
      <c r="M821" s="1">
        <f>B821*C821*AH813+E821*F821*AH814+H821*I821*AH815+K821*L821*AH816</f>
        <v>2821.9164751571311</v>
      </c>
      <c r="O821" s="1" t="s">
        <v>29</v>
      </c>
      <c r="P821" s="1">
        <f>2*(F806*(J804*K804+L804)+H806)</f>
        <v>28200</v>
      </c>
      <c r="Q821" s="1">
        <f t="shared" si="86"/>
        <v>0.46874408304968196</v>
      </c>
      <c r="R821" s="1">
        <f t="shared" si="87"/>
        <v>16520.885207086041</v>
      </c>
    </row>
    <row r="822" spans="1:33" ht="24.75" x14ac:dyDescent="0.25">
      <c r="A822" s="1"/>
      <c r="B822" s="1"/>
      <c r="C822" s="1"/>
      <c r="D822" s="1"/>
      <c r="E822" s="1"/>
      <c r="F822" s="1"/>
      <c r="G822" s="62" t="s">
        <v>52</v>
      </c>
      <c r="H822" s="1">
        <f>AB813*AB814*AB815</f>
        <v>0.99741402703840543</v>
      </c>
      <c r="I822" s="63">
        <f>AC815-F815</f>
        <v>105.33333333333334</v>
      </c>
      <c r="J822" s="62" t="s">
        <v>56</v>
      </c>
      <c r="K822" s="1">
        <f>AA813*AB814*AB815*AB816+AA814*AB813*AB815*AB816+AA815*AB813*AB814*AB816+AA816*AB813*AB814*AB815</f>
        <v>5.0815169027042233E-3</v>
      </c>
      <c r="L822" s="1">
        <f>AC816+1*L806-F816</f>
        <v>169.33333333333337</v>
      </c>
      <c r="M822" s="1">
        <f>B822*C822*AH813+E822*F822*AH814+H822*I822*AH815+K822*L822*AH816</f>
        <v>7133.7349816600781</v>
      </c>
      <c r="O822" s="1" t="s">
        <v>30</v>
      </c>
      <c r="P822" s="1">
        <v>0</v>
      </c>
      <c r="Q822" s="1">
        <f t="shared" si="86"/>
        <v>0.47364480643711648</v>
      </c>
      <c r="R822" s="1">
        <f t="shared" si="87"/>
        <v>16693.611202876171</v>
      </c>
    </row>
    <row r="823" spans="1:33" ht="30" x14ac:dyDescent="0.25">
      <c r="I823" s="84"/>
      <c r="J823" s="62" t="s">
        <v>52</v>
      </c>
      <c r="K823" s="85">
        <f>AB813*AB814*AB815*AB816</f>
        <v>0.99491053266825591</v>
      </c>
      <c r="L823" s="1">
        <f>AC816+0*L806-F816</f>
        <v>157.33333333333337</v>
      </c>
      <c r="M823" s="1">
        <f>B823*C823*AH813+E823*F823*AH814+H823*I823*AH815+K823*L823*AH816</f>
        <v>17218.584952045287</v>
      </c>
      <c r="O823" s="64" t="s">
        <v>65</v>
      </c>
      <c r="P823" s="65">
        <f>SUM(P819:P822)</f>
        <v>37280</v>
      </c>
      <c r="Q823" s="96" t="s">
        <v>108</v>
      </c>
      <c r="R823" s="97">
        <f>SUM(R819:R822)</f>
        <v>59818.040043636793</v>
      </c>
    </row>
    <row r="824" spans="1:33" x14ac:dyDescent="0.25">
      <c r="L824" s="176" t="s">
        <v>63</v>
      </c>
      <c r="M824" s="177">
        <f>SUM(M819:M823)</f>
        <v>27180.124344317133</v>
      </c>
    </row>
    <row r="825" spans="1:33" x14ac:dyDescent="0.25">
      <c r="L825" s="176"/>
      <c r="M825" s="177"/>
    </row>
    <row r="826" spans="1:33" x14ac:dyDescent="0.25">
      <c r="A826" s="178" t="s">
        <v>90</v>
      </c>
      <c r="B826" s="178"/>
      <c r="C826" s="178"/>
      <c r="D826" s="178"/>
      <c r="E826" s="178"/>
      <c r="F826" s="178"/>
      <c r="G826" s="178"/>
      <c r="H826" s="178"/>
      <c r="I826" s="178"/>
      <c r="J826" s="178"/>
      <c r="K826" s="178"/>
      <c r="L826" s="178"/>
      <c r="M826" s="178"/>
      <c r="N826" s="178"/>
    </row>
    <row r="827" spans="1:33" ht="15.75" x14ac:dyDescent="0.25">
      <c r="A827" s="87" t="s">
        <v>86</v>
      </c>
      <c r="B827" s="62" t="s">
        <v>49</v>
      </c>
      <c r="C827" s="90" t="s">
        <v>103</v>
      </c>
      <c r="D827" s="62" t="s">
        <v>88</v>
      </c>
      <c r="E827" s="87" t="s">
        <v>75</v>
      </c>
      <c r="F827" s="62" t="s">
        <v>57</v>
      </c>
      <c r="G827" s="90" t="s">
        <v>87</v>
      </c>
      <c r="H827" s="62" t="s">
        <v>88</v>
      </c>
      <c r="I827" s="87" t="s">
        <v>76</v>
      </c>
      <c r="J827" s="62" t="s">
        <v>61</v>
      </c>
      <c r="K827" s="90" t="s">
        <v>102</v>
      </c>
      <c r="L827" s="62" t="s">
        <v>88</v>
      </c>
      <c r="M827" s="87" t="s">
        <v>77</v>
      </c>
      <c r="N827" s="62" t="s">
        <v>84</v>
      </c>
      <c r="O827" s="90" t="s">
        <v>78</v>
      </c>
      <c r="P827" s="62" t="s">
        <v>88</v>
      </c>
    </row>
    <row r="828" spans="1:33" ht="24.75" x14ac:dyDescent="0.25">
      <c r="A828" s="62" t="s">
        <v>51</v>
      </c>
      <c r="B828" s="86">
        <v>1.3060317021926209E-5</v>
      </c>
      <c r="C828" s="86">
        <f>AC813+1*L806</f>
        <v>81.666666666666671</v>
      </c>
      <c r="D828" s="86">
        <f>MAX(B828*1.5*((C828-F813)*500/2),0)</f>
        <v>0</v>
      </c>
      <c r="E828" s="62" t="s">
        <v>55</v>
      </c>
      <c r="F828" s="86">
        <v>2.3034833916578068E-8</v>
      </c>
      <c r="G828" s="86">
        <f>AC814+2*L806</f>
        <v>170.66666666666669</v>
      </c>
      <c r="H828" s="86">
        <f>F828*1.5*((G828-F814)*500/2+(G828-F815)*500+(G828-F816)*500)</f>
        <v>3.2421528737583642E-3</v>
      </c>
      <c r="I828" s="62" t="s">
        <v>59</v>
      </c>
      <c r="J828" s="86">
        <v>1.867316507101141E-11</v>
      </c>
      <c r="K828" s="86">
        <f>AC815+3*L806</f>
        <v>236.33333333333334</v>
      </c>
      <c r="L828" s="86">
        <f>J828*1.5*((K828-G828)*500/2+(K828-G828)*500)</f>
        <v>1.3794800696209678E-6</v>
      </c>
      <c r="M828" s="62" t="s">
        <v>83</v>
      </c>
      <c r="N828" s="86">
        <v>4.6869366542757584E-14</v>
      </c>
      <c r="O828" s="86">
        <f>AC816+4*L806</f>
        <v>311.33333333333337</v>
      </c>
      <c r="P828" s="86">
        <f>N828*1.5*((O828-K828)*500/2)</f>
        <v>1.3182009340150574E-9</v>
      </c>
    </row>
    <row r="829" spans="1:33" ht="24.75" x14ac:dyDescent="0.25">
      <c r="A829" s="62" t="s">
        <v>52</v>
      </c>
      <c r="B829" s="86">
        <v>0.99998693968297803</v>
      </c>
      <c r="C829" s="88">
        <f>AC813</f>
        <v>69.666666666666671</v>
      </c>
      <c r="D829" s="86">
        <f>MAX(B829*1.5*((C829-F813)*500/2),0)</f>
        <v>0</v>
      </c>
      <c r="E829" s="62" t="s">
        <v>56</v>
      </c>
      <c r="F829" s="86">
        <v>1.7767412593329157E-3</v>
      </c>
      <c r="G829" s="86">
        <f>AC814+1*L806</f>
        <v>158.66666666666669</v>
      </c>
      <c r="H829" s="86">
        <f>F829*1.5*((G829-F814)*500/2+(G829-F815)*500+(G829-F816)*500)</f>
        <v>210.09965391611735</v>
      </c>
      <c r="I829" s="62" t="s">
        <v>60</v>
      </c>
      <c r="J829" s="86">
        <v>1.4633296852229213E-6</v>
      </c>
      <c r="K829" s="86">
        <f>AC815+2*L806</f>
        <v>224.33333333333334</v>
      </c>
      <c r="L829" s="86">
        <f>J829*1.5*((K829-G829)*500/2+(K829-G829)*500)</f>
        <v>0.1081034804958433</v>
      </c>
      <c r="M829" s="62" t="s">
        <v>59</v>
      </c>
      <c r="N829" s="86">
        <v>3.6072646369718893E-9</v>
      </c>
      <c r="O829" s="86">
        <f>AC816+3*L806</f>
        <v>299.33333333333337</v>
      </c>
      <c r="P829" s="86">
        <f>N829*1.5*((O829-K829)*500/2)</f>
        <v>1.0145431791483443E-4</v>
      </c>
    </row>
    <row r="830" spans="1:33" x14ac:dyDescent="0.25">
      <c r="A830" s="86"/>
      <c r="B830" s="86"/>
      <c r="C830" s="89" t="s">
        <v>89</v>
      </c>
      <c r="D830" s="89">
        <f>SUM(D828:D829)</f>
        <v>0</v>
      </c>
      <c r="E830" s="62" t="s">
        <v>52</v>
      </c>
      <c r="F830" s="86">
        <v>0.99822323570583316</v>
      </c>
      <c r="G830" s="86">
        <f>AC814+0*L806</f>
        <v>146.66666666666669</v>
      </c>
      <c r="H830" s="86">
        <f>F830*1.5*((G830-F814)*500/2+(G830-F815)*500+(G830-F816)*500)</f>
        <v>95579.874818833574</v>
      </c>
      <c r="I830" s="62" t="s">
        <v>56</v>
      </c>
      <c r="J830" s="86">
        <v>1.4452761111391846E-5</v>
      </c>
      <c r="K830" s="86">
        <f>AC815+1*L806</f>
        <v>212.33333333333334</v>
      </c>
      <c r="L830" s="86">
        <f>J830*1.5*((K830-G830)*500/2+(K830-G830)*500)</f>
        <v>1.0676977271040724</v>
      </c>
      <c r="M830" s="62" t="s">
        <v>60</v>
      </c>
      <c r="N830" s="86">
        <v>7.9467374310583644E-6</v>
      </c>
      <c r="O830" s="86">
        <f>AC816+2*L806</f>
        <v>287.33333333333337</v>
      </c>
      <c r="P830" s="86">
        <f>N830*1.5*((O830-K830)*500/2)</f>
        <v>0.22350199024851658</v>
      </c>
    </row>
    <row r="831" spans="1:33" x14ac:dyDescent="0.25">
      <c r="A831" s="86"/>
      <c r="B831" s="86"/>
      <c r="C831" s="86"/>
      <c r="D831" s="86"/>
      <c r="E831" s="86"/>
      <c r="F831" s="86"/>
      <c r="G831" s="89" t="s">
        <v>79</v>
      </c>
      <c r="H831" s="89">
        <f>SUM(H828:H830)</f>
        <v>95789.977714902561</v>
      </c>
      <c r="I831" s="62" t="s">
        <v>52</v>
      </c>
      <c r="J831" s="86">
        <v>0.99741402703840543</v>
      </c>
      <c r="K831" s="86">
        <f>AC815+0*L806</f>
        <v>200.33333333333334</v>
      </c>
      <c r="L831" s="86">
        <f>J831*1.5*((K831-G830)*500/2+(K831-G830)*500)</f>
        <v>60218.871882443716</v>
      </c>
      <c r="M831" s="62" t="s">
        <v>56</v>
      </c>
      <c r="N831" s="86">
        <v>5.0815169027042233E-3</v>
      </c>
      <c r="O831" s="86">
        <f>AC816+1*L806</f>
        <v>275.33333333333337</v>
      </c>
      <c r="P831" s="86">
        <f>N831*1.5*((O831-K831)*500/2)</f>
        <v>142.91766288855635</v>
      </c>
    </row>
    <row r="832" spans="1:33" x14ac:dyDescent="0.25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9" t="s">
        <v>79</v>
      </c>
      <c r="L832" s="89">
        <f>SUM(L828:L831)</f>
        <v>60220.047685030797</v>
      </c>
      <c r="M832" s="62" t="s">
        <v>52</v>
      </c>
      <c r="N832" s="86">
        <v>0.99491053266825591</v>
      </c>
      <c r="O832" s="86">
        <f>AC816+0*L806</f>
        <v>263.33333333333337</v>
      </c>
      <c r="P832" s="86">
        <f>N832*1.5*((O832-K831)*500/2)</f>
        <v>23504.761334287556</v>
      </c>
      <c r="Q832" s="179" t="s">
        <v>80</v>
      </c>
      <c r="R832" s="179"/>
      <c r="S832" s="180">
        <f>D830+H831+L832+P833</f>
        <v>179657.92800055537</v>
      </c>
      <c r="T832" s="180"/>
    </row>
    <row r="833" spans="1:22" x14ac:dyDescent="0.25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9" t="s">
        <v>79</v>
      </c>
      <c r="P833" s="89">
        <f>SUM(P828:P832)</f>
        <v>23647.902600621997</v>
      </c>
      <c r="Q833" s="179"/>
      <c r="R833" s="179"/>
      <c r="S833" s="180"/>
      <c r="T833" s="180"/>
    </row>
    <row r="834" spans="1:22" x14ac:dyDescent="0.25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</row>
    <row r="835" spans="1:22" x14ac:dyDescent="0.25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</row>
    <row r="836" spans="1:22" x14ac:dyDescent="0.25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</row>
    <row r="837" spans="1:22" ht="24.75" thickBot="1" x14ac:dyDescent="0.3">
      <c r="O837" s="131" t="s">
        <v>81</v>
      </c>
      <c r="P837" s="131"/>
      <c r="Q837" s="131">
        <f>(R823+P823+M824+S832)/AC816</f>
        <v>1154.1876926145922</v>
      </c>
      <c r="R837" s="131"/>
    </row>
    <row r="838" spans="1:22" x14ac:dyDescent="0.25">
      <c r="A838" s="181" t="s">
        <v>127</v>
      </c>
      <c r="B838" s="182"/>
    </row>
    <row r="839" spans="1:22" ht="15.75" thickBot="1" x14ac:dyDescent="0.3">
      <c r="A839" s="183"/>
      <c r="B839" s="184"/>
    </row>
    <row r="840" spans="1:22" ht="21" x14ac:dyDescent="0.35">
      <c r="A840" s="185" t="s">
        <v>14</v>
      </c>
      <c r="B840" s="185"/>
      <c r="C840" s="165"/>
      <c r="D840" s="165"/>
      <c r="E840" s="165"/>
      <c r="F840" s="165"/>
      <c r="G840" s="165"/>
      <c r="H840" s="165"/>
      <c r="I840" s="165"/>
      <c r="J840" s="165"/>
      <c r="K840" s="165"/>
      <c r="L840" s="165"/>
      <c r="M840" s="165"/>
      <c r="O840" s="166" t="s">
        <v>72</v>
      </c>
      <c r="P840" s="166"/>
      <c r="Q840" s="166"/>
      <c r="R840" s="166"/>
      <c r="S840" s="166"/>
      <c r="T840" s="166"/>
      <c r="U840" s="166"/>
      <c r="V840" s="166"/>
    </row>
    <row r="841" spans="1:22" ht="36" x14ac:dyDescent="0.25">
      <c r="A841" s="4" t="s">
        <v>15</v>
      </c>
      <c r="B841" s="4" t="s">
        <v>16</v>
      </c>
      <c r="C841" s="4" t="s">
        <v>31</v>
      </c>
      <c r="D841" s="6" t="s">
        <v>17</v>
      </c>
      <c r="E841" s="6" t="s">
        <v>18</v>
      </c>
      <c r="F841" s="6" t="s">
        <v>19</v>
      </c>
      <c r="G841" s="6" t="s">
        <v>20</v>
      </c>
      <c r="H841" s="6" t="s">
        <v>21</v>
      </c>
      <c r="I841" s="6" t="s">
        <v>22</v>
      </c>
      <c r="J841" s="6" t="s">
        <v>23</v>
      </c>
      <c r="K841" s="6" t="s">
        <v>24</v>
      </c>
      <c r="L841" s="6" t="s">
        <v>25</v>
      </c>
      <c r="M841" s="6" t="s">
        <v>26</v>
      </c>
      <c r="N841" s="8"/>
      <c r="O841" s="167" t="s">
        <v>32</v>
      </c>
      <c r="P841" s="167" t="s">
        <v>35</v>
      </c>
      <c r="Q841" s="167" t="s">
        <v>66</v>
      </c>
      <c r="R841" s="99" t="s">
        <v>67</v>
      </c>
      <c r="S841" s="99" t="s">
        <v>68</v>
      </c>
      <c r="T841" s="167" t="s">
        <v>69</v>
      </c>
      <c r="U841" s="71" t="s">
        <v>33</v>
      </c>
      <c r="V841" s="99" t="s">
        <v>70</v>
      </c>
    </row>
    <row r="842" spans="1:22" x14ac:dyDescent="0.25">
      <c r="A842" s="3" t="s">
        <v>27</v>
      </c>
      <c r="B842" s="3">
        <v>0</v>
      </c>
      <c r="C842" s="3">
        <v>0.3</v>
      </c>
      <c r="D842" s="3">
        <v>243</v>
      </c>
      <c r="E842" s="3">
        <v>1.73</v>
      </c>
      <c r="F842" s="3">
        <v>5</v>
      </c>
      <c r="G842" s="169">
        <v>12</v>
      </c>
      <c r="H842" s="3">
        <v>1820</v>
      </c>
      <c r="I842" s="169">
        <v>19645</v>
      </c>
      <c r="J842" s="3">
        <v>20</v>
      </c>
      <c r="K842" s="3">
        <v>40</v>
      </c>
      <c r="L842" s="3">
        <v>500</v>
      </c>
      <c r="M842" s="3">
        <v>1000</v>
      </c>
      <c r="O842" s="168"/>
      <c r="P842" s="168"/>
      <c r="Q842" s="168"/>
      <c r="R842" s="72" t="s">
        <v>71</v>
      </c>
      <c r="S842" s="72" t="s">
        <v>71</v>
      </c>
      <c r="T842" s="168"/>
      <c r="U842" s="73">
        <v>500</v>
      </c>
      <c r="V842" s="3">
        <v>1.5</v>
      </c>
    </row>
    <row r="843" spans="1:22" x14ac:dyDescent="0.25">
      <c r="A843" s="3" t="s">
        <v>28</v>
      </c>
      <c r="B843" s="3">
        <v>0</v>
      </c>
      <c r="C843" s="3">
        <v>0.3</v>
      </c>
      <c r="D843" s="3">
        <v>254</v>
      </c>
      <c r="E843" s="3">
        <v>1.88</v>
      </c>
      <c r="F843" s="3">
        <v>3</v>
      </c>
      <c r="G843" s="170"/>
      <c r="H843" s="3">
        <v>2720</v>
      </c>
      <c r="I843" s="170"/>
      <c r="J843" s="5"/>
      <c r="K843" s="5"/>
      <c r="L843" s="5"/>
      <c r="M843" s="5"/>
      <c r="O843" s="74">
        <v>1</v>
      </c>
      <c r="P843" s="74">
        <v>106</v>
      </c>
      <c r="Q843" s="74">
        <v>110</v>
      </c>
      <c r="R843" s="74">
        <v>6</v>
      </c>
      <c r="S843" s="74">
        <v>5</v>
      </c>
      <c r="T843" s="74">
        <f>R843*$U$5/60+S843</f>
        <v>55</v>
      </c>
      <c r="U843" s="75"/>
    </row>
    <row r="844" spans="1:22" x14ac:dyDescent="0.25">
      <c r="A844" s="3" t="s">
        <v>29</v>
      </c>
      <c r="B844" s="3">
        <v>0</v>
      </c>
      <c r="C844" s="3">
        <v>0.3</v>
      </c>
      <c r="D844" s="3">
        <v>143</v>
      </c>
      <c r="E844" s="3">
        <v>2.4300000000000002</v>
      </c>
      <c r="F844" s="3">
        <v>8</v>
      </c>
      <c r="G844" s="170"/>
      <c r="H844" s="3">
        <v>3700</v>
      </c>
      <c r="I844" s="170"/>
      <c r="J844" s="5"/>
      <c r="K844" s="140" t="s">
        <v>73</v>
      </c>
      <c r="L844" s="141">
        <v>12</v>
      </c>
      <c r="M844" s="140" t="s">
        <v>74</v>
      </c>
      <c r="N844" s="141">
        <v>19645</v>
      </c>
      <c r="O844" s="74">
        <v>2</v>
      </c>
      <c r="P844" s="74">
        <v>76</v>
      </c>
      <c r="Q844" s="74">
        <v>40</v>
      </c>
      <c r="R844" s="74">
        <v>9</v>
      </c>
      <c r="S844" s="74">
        <v>2</v>
      </c>
      <c r="T844" s="74">
        <f t="shared" ref="T844:T846" si="88">R844*$U$5/60+S844</f>
        <v>77</v>
      </c>
      <c r="U844" s="75"/>
    </row>
    <row r="845" spans="1:22" x14ac:dyDescent="0.25">
      <c r="A845" s="3" t="s">
        <v>30</v>
      </c>
      <c r="B845" s="3">
        <v>0</v>
      </c>
      <c r="C845" s="3">
        <v>0.3</v>
      </c>
      <c r="D845" s="3">
        <v>449</v>
      </c>
      <c r="E845" s="3">
        <v>2.5299999999999998</v>
      </c>
      <c r="F845" s="3">
        <v>4</v>
      </c>
      <c r="G845" s="171"/>
      <c r="H845" s="3">
        <v>4320</v>
      </c>
      <c r="I845" s="171"/>
      <c r="J845" s="5"/>
      <c r="K845" s="140"/>
      <c r="L845" s="141"/>
      <c r="M845" s="140"/>
      <c r="N845" s="141"/>
      <c r="O845" s="74">
        <v>3</v>
      </c>
      <c r="P845" s="74">
        <v>95</v>
      </c>
      <c r="Q845" s="74">
        <v>67</v>
      </c>
      <c r="R845" s="74">
        <v>5</v>
      </c>
      <c r="S845" s="74">
        <v>4</v>
      </c>
      <c r="T845" s="74">
        <f t="shared" si="88"/>
        <v>45.666666666666664</v>
      </c>
      <c r="U845" s="75"/>
    </row>
    <row r="846" spans="1:22" ht="15.75" thickBo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O846" s="74">
        <v>4</v>
      </c>
      <c r="P846" s="74">
        <v>140</v>
      </c>
      <c r="Q846" s="94">
        <v>85</v>
      </c>
      <c r="R846" s="94">
        <v>8</v>
      </c>
      <c r="S846" s="94">
        <v>3</v>
      </c>
      <c r="T846" s="74">
        <f t="shared" si="88"/>
        <v>69.666666666666671</v>
      </c>
    </row>
    <row r="847" spans="1:22" ht="15" customHeight="1" x14ac:dyDescent="0.25">
      <c r="A847" s="172" t="s">
        <v>104</v>
      </c>
      <c r="B847" s="144" t="s">
        <v>105</v>
      </c>
      <c r="C847" s="144"/>
      <c r="D847" s="144"/>
      <c r="E847" s="144"/>
      <c r="F847" s="20" t="s">
        <v>27</v>
      </c>
      <c r="G847" s="20" t="s">
        <v>28</v>
      </c>
      <c r="H847" s="20" t="s">
        <v>29</v>
      </c>
      <c r="I847" s="20" t="s">
        <v>30</v>
      </c>
    </row>
    <row r="848" spans="1:22" ht="15.75" customHeight="1" thickBot="1" x14ac:dyDescent="0.3">
      <c r="A848" s="173"/>
      <c r="B848" s="145"/>
      <c r="C848" s="145"/>
      <c r="D848" s="145"/>
      <c r="E848" s="145"/>
      <c r="F848" s="20">
        <v>84</v>
      </c>
      <c r="G848" s="26">
        <v>84</v>
      </c>
      <c r="H848" s="26">
        <v>84</v>
      </c>
      <c r="I848" s="26">
        <v>252</v>
      </c>
    </row>
    <row r="849" spans="1:34" ht="15.75" customHeight="1" thickBot="1" x14ac:dyDescent="0.3">
      <c r="A849" s="173"/>
      <c r="B849" s="145"/>
      <c r="C849" s="145"/>
      <c r="D849" s="145"/>
      <c r="E849" s="145"/>
      <c r="F849" s="7"/>
      <c r="G849" s="146" t="s">
        <v>27</v>
      </c>
      <c r="H849" s="147"/>
      <c r="I849" s="147"/>
      <c r="J849" s="147"/>
      <c r="K849" s="148"/>
      <c r="L849" s="149" t="s">
        <v>28</v>
      </c>
      <c r="M849" s="150"/>
      <c r="N849" s="150"/>
      <c r="O849" s="150"/>
      <c r="P849" s="151"/>
      <c r="Q849" s="152" t="s">
        <v>29</v>
      </c>
      <c r="R849" s="153"/>
      <c r="S849" s="153"/>
      <c r="T849" s="153"/>
      <c r="U849" s="154"/>
      <c r="V849" s="155" t="s">
        <v>30</v>
      </c>
      <c r="W849" s="156"/>
      <c r="X849" s="156"/>
      <c r="Y849" s="156"/>
      <c r="Z849" s="157"/>
      <c r="AA849" s="158" t="s">
        <v>42</v>
      </c>
      <c r="AB849" s="159"/>
      <c r="AC849" s="160" t="s">
        <v>44</v>
      </c>
      <c r="AD849" s="162" t="s">
        <v>47</v>
      </c>
      <c r="AE849" s="163"/>
      <c r="AF849" s="163"/>
      <c r="AG849" s="164"/>
      <c r="AH849" s="138" t="s">
        <v>62</v>
      </c>
    </row>
    <row r="850" spans="1:34" ht="36.75" x14ac:dyDescent="0.25">
      <c r="A850" s="21" t="s">
        <v>32</v>
      </c>
      <c r="B850" s="22" t="s">
        <v>37</v>
      </c>
      <c r="C850" s="23" t="s">
        <v>33</v>
      </c>
      <c r="D850" s="22" t="s">
        <v>38</v>
      </c>
      <c r="E850" s="22" t="s">
        <v>34</v>
      </c>
      <c r="F850" s="25" t="s">
        <v>35</v>
      </c>
      <c r="G850" s="27" t="s">
        <v>39</v>
      </c>
      <c r="H850" s="10" t="s">
        <v>40</v>
      </c>
      <c r="I850" s="10" t="s">
        <v>45</v>
      </c>
      <c r="J850" s="10" t="s">
        <v>46</v>
      </c>
      <c r="K850" s="28" t="s">
        <v>41</v>
      </c>
      <c r="L850" s="30" t="s">
        <v>39</v>
      </c>
      <c r="M850" s="13" t="s">
        <v>40</v>
      </c>
      <c r="N850" s="13" t="s">
        <v>45</v>
      </c>
      <c r="O850" s="13" t="s">
        <v>46</v>
      </c>
      <c r="P850" s="31" t="s">
        <v>41</v>
      </c>
      <c r="Q850" s="33" t="s">
        <v>39</v>
      </c>
      <c r="R850" s="12" t="s">
        <v>40</v>
      </c>
      <c r="S850" s="12" t="s">
        <v>45</v>
      </c>
      <c r="T850" s="12" t="s">
        <v>46</v>
      </c>
      <c r="U850" s="34" t="s">
        <v>41</v>
      </c>
      <c r="V850" s="36" t="s">
        <v>39</v>
      </c>
      <c r="W850" s="11" t="s">
        <v>40</v>
      </c>
      <c r="X850" s="11" t="s">
        <v>45</v>
      </c>
      <c r="Y850" s="11" t="s">
        <v>46</v>
      </c>
      <c r="Z850" s="37" t="s">
        <v>41</v>
      </c>
      <c r="AA850" s="39" t="s">
        <v>41</v>
      </c>
      <c r="AB850" s="40" t="s">
        <v>43</v>
      </c>
      <c r="AC850" s="161"/>
      <c r="AD850" s="43" t="s">
        <v>27</v>
      </c>
      <c r="AE850" s="1" t="s">
        <v>28</v>
      </c>
      <c r="AF850" s="1" t="s">
        <v>29</v>
      </c>
      <c r="AG850" s="1" t="s">
        <v>30</v>
      </c>
      <c r="AH850" s="139"/>
    </row>
    <row r="851" spans="1:34" x14ac:dyDescent="0.25">
      <c r="A851" s="24">
        <v>4</v>
      </c>
      <c r="B851" s="9">
        <v>8</v>
      </c>
      <c r="C851" s="9">
        <v>500</v>
      </c>
      <c r="D851" s="9">
        <v>3</v>
      </c>
      <c r="E851" s="48">
        <f>B851*C851/60+D851</f>
        <v>69.666666666666671</v>
      </c>
      <c r="F851" s="100">
        <v>140</v>
      </c>
      <c r="G851" s="49">
        <f>B$5*(1-AD851*C$5)</f>
        <v>0</v>
      </c>
      <c r="H851" s="50">
        <f>G851+E851</f>
        <v>69.666666666666671</v>
      </c>
      <c r="I851" s="15">
        <f>(H851/D$5)^E$5</f>
        <v>0.11516869637804684</v>
      </c>
      <c r="J851" s="15">
        <f>(G851/D$5)^E$5</f>
        <v>0</v>
      </c>
      <c r="K851" s="29">
        <f>1-EXP(J851-I851)</f>
        <v>0.10878421365041502</v>
      </c>
      <c r="L851" s="51">
        <f>B$6*(1-AE851*C$6)</f>
        <v>0</v>
      </c>
      <c r="M851" s="52">
        <f>L851+E851</f>
        <v>69.666666666666671</v>
      </c>
      <c r="N851" s="17">
        <f>(M851/D$6)^E$6</f>
        <v>8.7861714115895329E-2</v>
      </c>
      <c r="O851" s="17">
        <f>(L851/D$6)^E$6</f>
        <v>0</v>
      </c>
      <c r="P851" s="32">
        <f>1-EXP(O851-N851)</f>
        <v>8.4112477717763534E-2</v>
      </c>
      <c r="Q851" s="53">
        <f>B$7*(1-AF851*C$7)</f>
        <v>0</v>
      </c>
      <c r="R851" s="54">
        <f>Q851+E851</f>
        <v>69.666666666666671</v>
      </c>
      <c r="S851" s="16">
        <f>(R851/D$7)^E$7</f>
        <v>0.17421448251746105</v>
      </c>
      <c r="T851" s="16">
        <f>(Q851/D$7)^E$7</f>
        <v>0</v>
      </c>
      <c r="U851" s="35">
        <f>1-EXP(T851-S851)</f>
        <v>0.15988331200899064</v>
      </c>
      <c r="V851" s="55">
        <f>B$8*(1-AG851*C$8)</f>
        <v>0</v>
      </c>
      <c r="W851" s="56">
        <f>V851+E851</f>
        <v>69.666666666666671</v>
      </c>
      <c r="X851" s="18">
        <f>(W851/D$8)^E$8</f>
        <v>8.9674731846197935E-3</v>
      </c>
      <c r="Y851" s="18">
        <f>(V851/D$8)^E$8</f>
        <v>0</v>
      </c>
      <c r="Z851" s="38">
        <f>1-EXP(Y851-X851)</f>
        <v>8.9273853154187011E-3</v>
      </c>
      <c r="AA851" s="41">
        <f>K851*P851*U851*Z851</f>
        <v>1.3060317021926209E-5</v>
      </c>
      <c r="AB851" s="42">
        <f>1-AA851</f>
        <v>0.99998693968297803</v>
      </c>
      <c r="AC851" s="47">
        <f>(AD851*F$5+AE851*F$6+AF851*F$7+AG851*F$8)+E851</f>
        <v>69.666666666666671</v>
      </c>
      <c r="AD851" s="43">
        <v>0</v>
      </c>
      <c r="AE851" s="1">
        <v>0</v>
      </c>
      <c r="AF851" s="1">
        <v>0</v>
      </c>
      <c r="AG851" s="1">
        <v>0</v>
      </c>
      <c r="AH851" s="74">
        <v>85</v>
      </c>
    </row>
    <row r="852" spans="1:34" x14ac:dyDescent="0.25">
      <c r="A852" s="76">
        <v>3</v>
      </c>
      <c r="B852" s="58">
        <v>5</v>
      </c>
      <c r="C852" s="9">
        <v>500</v>
      </c>
      <c r="D852" s="58">
        <v>4</v>
      </c>
      <c r="E852" s="48">
        <f t="shared" ref="E852:E854" si="89">B852*C852/60+D852</f>
        <v>45.666666666666664</v>
      </c>
      <c r="F852" s="100">
        <v>95</v>
      </c>
      <c r="G852" s="49">
        <f>H851*(1-AD852*C$5)</f>
        <v>69.666666666666671</v>
      </c>
      <c r="H852" s="50">
        <f>G852+E852</f>
        <v>115.33333333333334</v>
      </c>
      <c r="I852" s="15">
        <f>(H852/D$5)^E$5</f>
        <v>0.27547552976184858</v>
      </c>
      <c r="J852" s="15">
        <f>(G852/D$5)^E$5</f>
        <v>0.11516869637804684</v>
      </c>
      <c r="K852" s="29">
        <f>1-EXP(J852-I852)</f>
        <v>0.14811763708687153</v>
      </c>
      <c r="L852" s="51">
        <f>M851*(1-AE852*C$6)</f>
        <v>69.666666666666671</v>
      </c>
      <c r="M852" s="52">
        <f>L852+E852</f>
        <v>115.33333333333334</v>
      </c>
      <c r="N852" s="17">
        <f>(M852/D$6)^E$6</f>
        <v>0.22666669883015245</v>
      </c>
      <c r="O852" s="17">
        <f>(L852/D$6)^E$6</f>
        <v>8.7861714115895329E-2</v>
      </c>
      <c r="P852" s="32">
        <f>1-EXP(O852-N852)</f>
        <v>0.12960224722523705</v>
      </c>
      <c r="Q852" s="53">
        <f>R851*(1-AF852*C$7)</f>
        <v>69.666666666666671</v>
      </c>
      <c r="R852" s="54">
        <f>Q852+E852</f>
        <v>115.33333333333334</v>
      </c>
      <c r="S852" s="16">
        <f>(R852/D$7)^E$7</f>
        <v>0.59303960801780564</v>
      </c>
      <c r="T852" s="16">
        <f>(Q852/D$7)^E$7</f>
        <v>0.17421448251746105</v>
      </c>
      <c r="U852" s="35">
        <f>1-EXP(T852-S852)</f>
        <v>0.34218077898287225</v>
      </c>
      <c r="V852" s="55">
        <f>W851*(1-AG852*C$8)</f>
        <v>69.666666666666671</v>
      </c>
      <c r="W852" s="56">
        <f>V852+E852</f>
        <v>115.33333333333334</v>
      </c>
      <c r="X852" s="18">
        <f>(W852/D$8)^E$8</f>
        <v>3.2104248826077181E-2</v>
      </c>
      <c r="Y852" s="18">
        <f>(V852/D$8)^E$8</f>
        <v>8.9674731846197935E-3</v>
      </c>
      <c r="Z852" s="38">
        <f>1-EXP(Y852-X852)</f>
        <v>2.2871172789123873E-2</v>
      </c>
      <c r="AA852" s="41">
        <f>K852*P852*U852*Z852</f>
        <v>1.502323126547819E-4</v>
      </c>
      <c r="AB852" s="42">
        <f>1-AA852</f>
        <v>0.99984976768734524</v>
      </c>
      <c r="AC852" s="47">
        <f>AF852*F$7+E852+AC851</f>
        <v>115.33333333333334</v>
      </c>
      <c r="AD852" s="43">
        <v>0</v>
      </c>
      <c r="AE852" s="1">
        <v>0</v>
      </c>
      <c r="AF852" s="1">
        <v>0</v>
      </c>
      <c r="AG852" s="1">
        <v>0</v>
      </c>
      <c r="AH852" s="74">
        <v>67</v>
      </c>
    </row>
    <row r="853" spans="1:34" x14ac:dyDescent="0.25">
      <c r="A853" s="24">
        <v>1</v>
      </c>
      <c r="B853" s="9">
        <v>6</v>
      </c>
      <c r="C853" s="58">
        <v>500</v>
      </c>
      <c r="D853" s="58">
        <v>5</v>
      </c>
      <c r="E853" s="48">
        <f t="shared" si="89"/>
        <v>55</v>
      </c>
      <c r="F853" s="100">
        <v>106</v>
      </c>
      <c r="G853" s="68">
        <f>H852*(1-AD853*C$5)</f>
        <v>80.733333333333334</v>
      </c>
      <c r="H853" s="69">
        <f>G853+E853</f>
        <v>135.73333333333335</v>
      </c>
      <c r="I853" s="70">
        <f>(H853/D$5)^E$5</f>
        <v>0.36513109280337663</v>
      </c>
      <c r="J853" s="70">
        <f>(G853/D$5)^E$5</f>
        <v>0.14862868526677991</v>
      </c>
      <c r="K853" s="29">
        <f>1-EXP(J853-I853)</f>
        <v>0.19466940394254484</v>
      </c>
      <c r="L853" s="51">
        <f>M852*(1-AE853*C$6)</f>
        <v>80.733333333333334</v>
      </c>
      <c r="M853" s="52">
        <f>L853+E853</f>
        <v>135.73333333333335</v>
      </c>
      <c r="N853" s="17">
        <f>(M853/D$6)^E$6</f>
        <v>0.30786708540357188</v>
      </c>
      <c r="O853" s="17">
        <f>(L853/D$6)^E$6</f>
        <v>0.11592364675943075</v>
      </c>
      <c r="P853" s="32">
        <f>1-EXP(O853-N853)</f>
        <v>0.17464644971265575</v>
      </c>
      <c r="Q853" s="53">
        <f>R852*(1-AF853*C$7)</f>
        <v>80.733333333333334</v>
      </c>
      <c r="R853" s="54">
        <f>Q853+E853</f>
        <v>135.73333333333335</v>
      </c>
      <c r="S853" s="16">
        <f>(R853/D$7)^E$7</f>
        <v>0.88097109537085294</v>
      </c>
      <c r="T853" s="16">
        <f>(Q853/D$7)^E$7</f>
        <v>0.24927110408438607</v>
      </c>
      <c r="U853" s="35">
        <f>1-EXP(T853-S853)</f>
        <v>0.46831283126270695</v>
      </c>
      <c r="V853" s="55">
        <f>W852*(1-AG853*C$8)</f>
        <v>115.33333333333334</v>
      </c>
      <c r="W853" s="56">
        <f>V853+E853</f>
        <v>170.33333333333334</v>
      </c>
      <c r="X853" s="18">
        <f>(W853/D$8)^E$8</f>
        <v>8.6100338756432887E-2</v>
      </c>
      <c r="Y853" s="18">
        <f>(V853/D$8)^E$8</f>
        <v>3.2104248826077181E-2</v>
      </c>
      <c r="Z853" s="38">
        <f>1-EXP(Y853-X853)</f>
        <v>5.2564188965439573E-2</v>
      </c>
      <c r="AA853" s="41">
        <f>K853*P853*U853*Z853</f>
        <v>8.3691911221333486E-4</v>
      </c>
      <c r="AB853" s="42">
        <f>1-AA853</f>
        <v>0.99916308088778671</v>
      </c>
      <c r="AC853" s="47">
        <f>(AF853*F$7)+E853+AC852</f>
        <v>178.33333333333334</v>
      </c>
      <c r="AD853" s="77">
        <v>1</v>
      </c>
      <c r="AE853" s="78">
        <v>1</v>
      </c>
      <c r="AF853" s="78">
        <v>1</v>
      </c>
      <c r="AG853" s="78">
        <v>0</v>
      </c>
      <c r="AH853" s="74">
        <v>110</v>
      </c>
    </row>
    <row r="854" spans="1:34" ht="15.75" thickBot="1" x14ac:dyDescent="0.3">
      <c r="A854" s="57">
        <v>2</v>
      </c>
      <c r="B854" s="58">
        <v>9</v>
      </c>
      <c r="C854" s="58">
        <v>500</v>
      </c>
      <c r="D854" s="9">
        <v>2</v>
      </c>
      <c r="E854" s="48">
        <f t="shared" si="89"/>
        <v>77</v>
      </c>
      <c r="F854" s="100">
        <v>76</v>
      </c>
      <c r="G854" s="68">
        <f>H853*(1-AD854*C$5)</f>
        <v>95.013333333333335</v>
      </c>
      <c r="H854" s="69">
        <f>G854+E854</f>
        <v>172.01333333333332</v>
      </c>
      <c r="I854" s="70">
        <f>(H854/D$5)^E$5</f>
        <v>0.55007714400590135</v>
      </c>
      <c r="J854" s="70">
        <f>(G854/D$5)^E$5</f>
        <v>0.19700099794818257</v>
      </c>
      <c r="K854" s="29">
        <f>1-EXP(J854-I854)</f>
        <v>0.2974763030694797</v>
      </c>
      <c r="L854" s="51">
        <f>M853*(1-AE854*C$6)</f>
        <v>95.013333333333335</v>
      </c>
      <c r="M854" s="52">
        <f>L854+E854</f>
        <v>172.01333333333332</v>
      </c>
      <c r="N854" s="17">
        <f>(M854/D$6)^E$6</f>
        <v>0.4805840832144625</v>
      </c>
      <c r="O854" s="17">
        <f>(L854/D$6)^E$6</f>
        <v>0.15745178026315176</v>
      </c>
      <c r="P854" s="32">
        <f>1-EXP(O854-N854)</f>
        <v>0.27612192317372397</v>
      </c>
      <c r="Q854" s="53">
        <f>R853*(1-AF854*C$7)</f>
        <v>95.013333333333335</v>
      </c>
      <c r="R854" s="54">
        <f>Q854+E854</f>
        <v>172.01333333333332</v>
      </c>
      <c r="S854" s="16">
        <f>(R854/D$7)^E$7</f>
        <v>1.5665683956775553</v>
      </c>
      <c r="T854" s="16">
        <f>(Q854/D$7)^E$7</f>
        <v>0.37029674686236147</v>
      </c>
      <c r="U854" s="35">
        <f>1-EXP(T854-S854)</f>
        <v>0.69768073429638378</v>
      </c>
      <c r="V854" s="55">
        <f>W853*(1-AG854*C$8)</f>
        <v>170.33333333333334</v>
      </c>
      <c r="W854" s="56">
        <f>V854+E854</f>
        <v>247.33333333333334</v>
      </c>
      <c r="X854" s="18">
        <f>(W854/D$8)^E$8</f>
        <v>0.22121871391987213</v>
      </c>
      <c r="Y854" s="18">
        <f>(V854/D$8)^E$8</f>
        <v>8.6100338756432887E-2</v>
      </c>
      <c r="Z854" s="38">
        <f>1-EXP(Y854-X854)</f>
        <v>0.1263875084545022</v>
      </c>
      <c r="AA854" s="41">
        <f>K854*P854*U854*Z854</f>
        <v>7.2429276690206745E-3</v>
      </c>
      <c r="AB854" s="42">
        <f>1-AA854</f>
        <v>0.99275707233097932</v>
      </c>
      <c r="AC854" s="47">
        <f>(AF854*F$7)+E854+AC853</f>
        <v>263.33333333333337</v>
      </c>
      <c r="AD854" s="80">
        <v>1</v>
      </c>
      <c r="AE854" s="45">
        <v>1</v>
      </c>
      <c r="AF854" s="81">
        <v>1</v>
      </c>
      <c r="AG854" s="45">
        <v>0</v>
      </c>
      <c r="AH854" s="94">
        <v>40</v>
      </c>
    </row>
    <row r="855" spans="1:34" ht="18.75" x14ac:dyDescent="0.3">
      <c r="A855" s="132" t="s">
        <v>53</v>
      </c>
      <c r="B855" s="132"/>
      <c r="C855" s="132"/>
      <c r="D855" s="132"/>
      <c r="E855" s="132"/>
      <c r="F855" s="132"/>
      <c r="G855" s="132"/>
      <c r="H855" s="132"/>
      <c r="I855" s="132"/>
      <c r="J855" s="132"/>
      <c r="AG855" s="46"/>
    </row>
    <row r="856" spans="1:34" ht="15.75" x14ac:dyDescent="0.25">
      <c r="A856" s="19" t="s">
        <v>82</v>
      </c>
      <c r="B856" s="60" t="s">
        <v>49</v>
      </c>
      <c r="C856" s="61" t="s">
        <v>50</v>
      </c>
      <c r="D856" s="19" t="s">
        <v>48</v>
      </c>
      <c r="E856" s="60" t="s">
        <v>57</v>
      </c>
      <c r="F856" s="61" t="s">
        <v>50</v>
      </c>
      <c r="G856" s="19" t="s">
        <v>54</v>
      </c>
      <c r="H856" s="60" t="s">
        <v>61</v>
      </c>
      <c r="I856" s="61" t="s">
        <v>50</v>
      </c>
      <c r="J856" s="19" t="s">
        <v>58</v>
      </c>
      <c r="K856" s="83" t="s">
        <v>84</v>
      </c>
      <c r="L856" s="61" t="s">
        <v>50</v>
      </c>
      <c r="M856" s="61" t="s">
        <v>85</v>
      </c>
      <c r="O856" s="174" t="s">
        <v>64</v>
      </c>
      <c r="P856" s="174"/>
      <c r="Q856" s="175" t="s">
        <v>109</v>
      </c>
      <c r="R856" s="175"/>
    </row>
    <row r="857" spans="1:34" ht="24.75" x14ac:dyDescent="0.25">
      <c r="A857" s="61" t="s">
        <v>51</v>
      </c>
      <c r="B857" s="1">
        <f>AA851</f>
        <v>1.3060317021926209E-5</v>
      </c>
      <c r="C857" s="59">
        <f>MAX(AC851+1*L844-F851,0)</f>
        <v>0</v>
      </c>
      <c r="D857" s="62" t="s">
        <v>55</v>
      </c>
      <c r="E857" s="1">
        <f>AA851*AA852</f>
        <v>1.9620816302085884E-9</v>
      </c>
      <c r="F857" s="1">
        <f>MAX(AC852+2*L844-F852,0)</f>
        <v>44.333333333333343</v>
      </c>
      <c r="G857" s="62" t="s">
        <v>59</v>
      </c>
      <c r="H857" s="1">
        <f>AA851*AA852*AA853</f>
        <v>1.6421036160442647E-12</v>
      </c>
      <c r="I857" s="1">
        <f>AC853+3*L844-F853</f>
        <v>108.33333333333334</v>
      </c>
      <c r="J857" s="62" t="s">
        <v>83</v>
      </c>
      <c r="K857" s="1">
        <f>AA851*AA852*AA853*AA854</f>
        <v>1.1893637716045906E-14</v>
      </c>
      <c r="L857" s="1">
        <f>AC854+4*L844-F854</f>
        <v>235.33333333333337</v>
      </c>
      <c r="M857" s="1">
        <f>B857*C857*AH851+E857*F857*AH852+H857*I857*AH853+K857*L857*AH854</f>
        <v>5.8477168291304735E-6</v>
      </c>
      <c r="O857" s="1" t="s">
        <v>27</v>
      </c>
      <c r="P857" s="1">
        <f>2*H842</f>
        <v>3640</v>
      </c>
      <c r="Q857" s="1">
        <f>(K851*(1-P851)*(1-U851)*(1-Z851))+(P851*(1-K851)*(1-U851)*(1-Z851))+(U851*(1-K851)*(1-P851)*(1-Z851))+(Z851*(1-K851)*(1-P851)*(1-U851))</f>
        <v>0.28083409477630866</v>
      </c>
      <c r="R857" s="1">
        <f>Q857*(L$7*(J$5*K$5+L$5)+I$5)</f>
        <v>9897.9976703909997</v>
      </c>
    </row>
    <row r="858" spans="1:34" ht="24.75" x14ac:dyDescent="0.25">
      <c r="A858" s="62" t="s">
        <v>52</v>
      </c>
      <c r="B858" s="1">
        <f>AB851</f>
        <v>0.99998693968297803</v>
      </c>
      <c r="C858" s="59">
        <f>MAX(AC851-F851,0)</f>
        <v>0</v>
      </c>
      <c r="D858" s="62" t="s">
        <v>56</v>
      </c>
      <c r="E858" s="1">
        <f>AA851*AB852+AA852*AB851</f>
        <v>1.6328870551344767E-4</v>
      </c>
      <c r="F858" s="1">
        <f>MAX(AC852+1*L844-F852,0)</f>
        <v>32.333333333333343</v>
      </c>
      <c r="G858" s="62" t="s">
        <v>60</v>
      </c>
      <c r="H858" s="1">
        <f>AA851*AA852*AB853+AA852*AA853*AB851+AA851*AA853*AB852</f>
        <v>1.3861987797937185E-7</v>
      </c>
      <c r="I858" s="1">
        <f>AC853+2*L844-F853</f>
        <v>96.333333333333343</v>
      </c>
      <c r="J858" s="62" t="s">
        <v>59</v>
      </c>
      <c r="K858">
        <f>AB851*AA852*AA853*AA854+AB852*AA851*AA853*AA854*+AB853*AA851*AA852*AA854+AB854*AA851*AA852*AA853</f>
        <v>9.1228822550844043E-10</v>
      </c>
      <c r="L858" s="1">
        <f>AC854+3*L844-F854</f>
        <v>223.33333333333337</v>
      </c>
      <c r="M858" s="1">
        <f>B858*C858*AH851+E858*F858*AH852+H858*I858*AH853+K858*L858*AH854</f>
        <v>0.35521482412576816</v>
      </c>
      <c r="O858" s="1" t="s">
        <v>28</v>
      </c>
      <c r="P858" s="1">
        <f>2*H843</f>
        <v>5440</v>
      </c>
      <c r="Q858" s="1">
        <f t="shared" ref="Q858:Q860" si="90">(K852*(1-P852)*(1-U852)*(1-Z852))+(P852*(1-K852)*(1-U852)*(1-Z852))+(U852*(1-K852)*(1-P852)*(1-Z852))+(Z852*(1-K852)*(1-P852)*(1-U852))</f>
        <v>0.41290502350113689</v>
      </c>
      <c r="R858" s="1">
        <f t="shared" ref="R858:R860" si="91">Q858*(L$7*(J$5*K$5+L$5)+I$5)</f>
        <v>14552.83755329757</v>
      </c>
    </row>
    <row r="859" spans="1:34" ht="24.75" x14ac:dyDescent="0.25">
      <c r="A859" s="1"/>
      <c r="B859" s="1"/>
      <c r="C859" s="1"/>
      <c r="D859" s="62" t="s">
        <v>52</v>
      </c>
      <c r="E859" s="1">
        <f>AB851*AB852</f>
        <v>0.99983670933240487</v>
      </c>
      <c r="F859" s="59">
        <f>MAX(AC852-F852,0)</f>
        <v>20.333333333333343</v>
      </c>
      <c r="G859" s="62" t="s">
        <v>56</v>
      </c>
      <c r="H859" s="1">
        <f>AA851*AB852*AB853+AA852*AB851*AB853*+AA853*AB851*AB852</f>
        <v>1.3173031065256688E-5</v>
      </c>
      <c r="I859" s="1">
        <f>AC853+1*L844-F853</f>
        <v>84.333333333333343</v>
      </c>
      <c r="J859" s="62" t="s">
        <v>60</v>
      </c>
      <c r="K859" s="1">
        <f>AA851*AA852*AB853*AB854 + AA851*AA853*AB852*AB854 + AA851*AA854*AB852*AB853 + AA852*AA853*AB851*AB854 + AA852*AA854*AB851*AB853 + AA853*AA854*AB851*AB852</f>
        <v>7.3800691012641357E-6</v>
      </c>
      <c r="L859" s="1">
        <f>AC854+2*L844-F854</f>
        <v>211.33333333333337</v>
      </c>
      <c r="M859" s="1">
        <f>B859*C859*AH851+E859*F859*AH852+H859*I859*AH853+K859*L859*AH854</f>
        <v>1362.2954650161648</v>
      </c>
      <c r="O859" s="1" t="s">
        <v>29</v>
      </c>
      <c r="P859" s="1">
        <f>2*(F844*(J842*K842+L842)+H844)</f>
        <v>28200</v>
      </c>
      <c r="Q859" s="1">
        <f t="shared" si="90"/>
        <v>0.46527991067817587</v>
      </c>
      <c r="R859" s="1">
        <f t="shared" si="91"/>
        <v>16398.79045185231</v>
      </c>
    </row>
    <row r="860" spans="1:34" ht="24.75" x14ac:dyDescent="0.25">
      <c r="A860" s="1"/>
      <c r="B860" s="1"/>
      <c r="C860" s="1"/>
      <c r="D860" s="1"/>
      <c r="E860" s="1"/>
      <c r="F860" s="1"/>
      <c r="G860" s="62" t="s">
        <v>52</v>
      </c>
      <c r="H860" s="1">
        <f>AB851*AB852*AB853</f>
        <v>0.99899992688127215</v>
      </c>
      <c r="I860" s="63">
        <f>AC853-F853</f>
        <v>72.333333333333343</v>
      </c>
      <c r="J860" s="62" t="s">
        <v>56</v>
      </c>
      <c r="K860" s="1">
        <f>AA851*AB852*AB853*AB854+AA852*AB851*AB853*AB854+AA853*AB851*AB852*AB854+AA854*AB851*AB852*AB853</f>
        <v>8.2283762557287358E-3</v>
      </c>
      <c r="L860" s="1">
        <f>AC854+1*L844-F854</f>
        <v>199.33333333333337</v>
      </c>
      <c r="M860" s="1">
        <f>B860*C860*AH851+E860*F860*AH852+H860*I860*AH853+K860*L860*AH854</f>
        <v>8014.3170048976672</v>
      </c>
      <c r="O860" s="1" t="s">
        <v>30</v>
      </c>
      <c r="P860" s="1">
        <v>0</v>
      </c>
      <c r="Q860" s="1">
        <f t="shared" si="90"/>
        <v>0.43749355895932501</v>
      </c>
      <c r="R860" s="1">
        <f t="shared" si="91"/>
        <v>15419.460485521409</v>
      </c>
    </row>
    <row r="861" spans="1:34" ht="30" x14ac:dyDescent="0.25">
      <c r="I861" s="84"/>
      <c r="J861" s="62" t="s">
        <v>52</v>
      </c>
      <c r="K861" s="85">
        <f>AB851*AB852*AB853*AB854</f>
        <v>0.99176424266951413</v>
      </c>
      <c r="L861" s="1">
        <f>AC854+0*L844-F854</f>
        <v>187.33333333333337</v>
      </c>
      <c r="M861" s="1">
        <f>B861*C861*AH851+E861*F861*AH852+H861*I861*AH853+K861*L861*AH854</f>
        <v>7431.6200584035605</v>
      </c>
      <c r="O861" s="64" t="s">
        <v>65</v>
      </c>
      <c r="P861" s="65">
        <f>SUM(P857:P860)</f>
        <v>37280</v>
      </c>
      <c r="Q861" s="96" t="s">
        <v>108</v>
      </c>
      <c r="R861" s="97">
        <f>SUM(R857:R860)</f>
        <v>56269.086161062296</v>
      </c>
    </row>
    <row r="862" spans="1:34" x14ac:dyDescent="0.25">
      <c r="L862" s="176" t="s">
        <v>63</v>
      </c>
      <c r="M862" s="177">
        <f>SUM(M857:M861)</f>
        <v>16808.587748989234</v>
      </c>
    </row>
    <row r="863" spans="1:34" x14ac:dyDescent="0.25">
      <c r="L863" s="176"/>
      <c r="M863" s="177"/>
    </row>
    <row r="864" spans="1:34" x14ac:dyDescent="0.25">
      <c r="A864" s="178" t="s">
        <v>90</v>
      </c>
      <c r="B864" s="178"/>
      <c r="C864" s="178"/>
      <c r="D864" s="178"/>
      <c r="E864" s="178"/>
      <c r="F864" s="178"/>
      <c r="G864" s="178"/>
      <c r="H864" s="178"/>
      <c r="I864" s="178"/>
      <c r="J864" s="178"/>
      <c r="K864" s="178"/>
      <c r="L864" s="178"/>
      <c r="M864" s="178"/>
      <c r="N864" s="178"/>
    </row>
    <row r="865" spans="1:22" ht="15.75" x14ac:dyDescent="0.25">
      <c r="A865" s="87" t="s">
        <v>86</v>
      </c>
      <c r="B865" s="62" t="s">
        <v>49</v>
      </c>
      <c r="C865" s="90" t="s">
        <v>103</v>
      </c>
      <c r="D865" s="62" t="s">
        <v>88</v>
      </c>
      <c r="E865" s="87" t="s">
        <v>75</v>
      </c>
      <c r="F865" s="62" t="s">
        <v>57</v>
      </c>
      <c r="G865" s="90" t="s">
        <v>87</v>
      </c>
      <c r="H865" s="62" t="s">
        <v>88</v>
      </c>
      <c r="I865" s="87" t="s">
        <v>76</v>
      </c>
      <c r="J865" s="62" t="s">
        <v>61</v>
      </c>
      <c r="K865" s="90" t="s">
        <v>102</v>
      </c>
      <c r="L865" s="62" t="s">
        <v>88</v>
      </c>
      <c r="M865" s="87" t="s">
        <v>77</v>
      </c>
      <c r="N865" s="62" t="s">
        <v>84</v>
      </c>
      <c r="O865" s="90" t="s">
        <v>78</v>
      </c>
      <c r="P865" s="62" t="s">
        <v>88</v>
      </c>
    </row>
    <row r="866" spans="1:22" ht="24.75" x14ac:dyDescent="0.25">
      <c r="A866" s="62" t="s">
        <v>51</v>
      </c>
      <c r="B866" s="86">
        <v>1.3060317021926209E-5</v>
      </c>
      <c r="C866" s="86">
        <f>AC851+1*L844</f>
        <v>81.666666666666671</v>
      </c>
      <c r="D866" s="86">
        <f>MAX(B866*1.5*((C866-F851)*500/2),0)</f>
        <v>0</v>
      </c>
      <c r="E866" s="62" t="s">
        <v>55</v>
      </c>
      <c r="F866" s="86">
        <v>1.9620816302085884E-9</v>
      </c>
      <c r="G866" s="86">
        <f>AC852+2*L844</f>
        <v>139.33333333333334</v>
      </c>
      <c r="H866" s="86">
        <f>F866*1.5*((G866-F852)*500/2+(G866-F853)*500+(G866-F854)*500)</f>
        <v>1.7487052529234045E-4</v>
      </c>
      <c r="I866" s="62" t="s">
        <v>59</v>
      </c>
      <c r="J866" s="86">
        <v>1.6421036160442647E-12</v>
      </c>
      <c r="K866" s="86">
        <f>AC853+3*L844</f>
        <v>214.33333333333334</v>
      </c>
      <c r="L866" s="86">
        <f>J866*1.5*((K866-G866)*500/2+(K866-G866)*500)</f>
        <v>1.3855249260373482E-7</v>
      </c>
      <c r="M866" s="62" t="s">
        <v>83</v>
      </c>
      <c r="N866" s="86">
        <v>1.1893637716045906E-14</v>
      </c>
      <c r="O866" s="86">
        <f>AC854+4*L844</f>
        <v>311.33333333333337</v>
      </c>
      <c r="P866" s="86">
        <f>N866*1.5*((O866-K866)*500/2)</f>
        <v>4.3263107192116993E-10</v>
      </c>
    </row>
    <row r="867" spans="1:22" ht="24.75" x14ac:dyDescent="0.25">
      <c r="A867" s="62" t="s">
        <v>52</v>
      </c>
      <c r="B867" s="86">
        <v>0.99998693968297803</v>
      </c>
      <c r="C867" s="88">
        <f>AC851</f>
        <v>69.666666666666671</v>
      </c>
      <c r="D867" s="86">
        <f>MAX(B867*1.5*((C867-F851)*500/2),0)</f>
        <v>0</v>
      </c>
      <c r="E867" s="62" t="s">
        <v>56</v>
      </c>
      <c r="F867" s="86">
        <v>1.6328870551344767E-4</v>
      </c>
      <c r="G867" s="86">
        <f>AC852+1*L844</f>
        <v>127.33333333333334</v>
      </c>
      <c r="H867" s="86">
        <f>F867*1.5*((G867-F852)*500/2+(G867-F853)*500+(G867-F854)*500)</f>
        <v>10.879110004833453</v>
      </c>
      <c r="I867" s="62" t="s">
        <v>60</v>
      </c>
      <c r="J867" s="86">
        <v>1.3861987797937185E-7</v>
      </c>
      <c r="K867" s="86">
        <f>AC853+2*L844</f>
        <v>202.33333333333334</v>
      </c>
      <c r="L867" s="86">
        <f>J867*1.5*((K867-G867)*500/2+(K867-G867)*500)</f>
        <v>1.16960522045095E-2</v>
      </c>
      <c r="M867" s="62" t="s">
        <v>59</v>
      </c>
      <c r="N867" s="86">
        <v>9.1228822550844043E-10</v>
      </c>
      <c r="O867" s="86">
        <f>AC854+3*L844</f>
        <v>299.33333333333337</v>
      </c>
      <c r="P867" s="86">
        <f>N867*1.5*((O867-K867)*500/2)</f>
        <v>3.3184484202869531E-5</v>
      </c>
    </row>
    <row r="868" spans="1:22" x14ac:dyDescent="0.25">
      <c r="A868" s="86"/>
      <c r="B868" s="86"/>
      <c r="C868" s="89" t="s">
        <v>89</v>
      </c>
      <c r="D868" s="89">
        <f>SUM(D866:D867)</f>
        <v>0</v>
      </c>
      <c r="E868" s="62" t="s">
        <v>52</v>
      </c>
      <c r="F868" s="86">
        <v>0.99983670933240487</v>
      </c>
      <c r="G868" s="86">
        <f>AC852+0*L844</f>
        <v>115.33333333333334</v>
      </c>
      <c r="H868" s="86">
        <f>F868*1.5*((G868-F852)*500/2+(G868-F853)*500+(G868-F854)*500)</f>
        <v>44117.79479929238</v>
      </c>
      <c r="I868" s="62" t="s">
        <v>56</v>
      </c>
      <c r="J868" s="86">
        <v>1.3173031065256688E-5</v>
      </c>
      <c r="K868" s="86">
        <f>AC853+1*L844</f>
        <v>190.33333333333334</v>
      </c>
      <c r="L868" s="86">
        <f>J868*1.5*((K868-G868)*500/2+(K868-G868)*500)</f>
        <v>1.111474496131033</v>
      </c>
      <c r="M868" s="62" t="s">
        <v>60</v>
      </c>
      <c r="N868" s="86">
        <v>7.3800691012641357E-6</v>
      </c>
      <c r="O868" s="86">
        <f>AC854+2*L844</f>
        <v>287.33333333333337</v>
      </c>
      <c r="P868" s="86">
        <f>N868*1.5*((O868-K868)*500/2)</f>
        <v>0.26845001355848302</v>
      </c>
    </row>
    <row r="869" spans="1:22" x14ac:dyDescent="0.25">
      <c r="A869" s="86"/>
      <c r="B869" s="86"/>
      <c r="C869" s="86"/>
      <c r="D869" s="86"/>
      <c r="E869" s="86"/>
      <c r="F869" s="86"/>
      <c r="G869" s="89" t="s">
        <v>79</v>
      </c>
      <c r="H869" s="89">
        <f>SUM(H866:H868)</f>
        <v>44128.674084167738</v>
      </c>
      <c r="I869" s="62" t="s">
        <v>52</v>
      </c>
      <c r="J869" s="86">
        <v>0.99899992688127215</v>
      </c>
      <c r="K869" s="86">
        <f>AC853+0*L844</f>
        <v>178.33333333333334</v>
      </c>
      <c r="L869" s="86">
        <f>J869*1.5*((K869-G868)*500/2+(K869-G868)*500)</f>
        <v>70804.119817710161</v>
      </c>
      <c r="M869" s="62" t="s">
        <v>56</v>
      </c>
      <c r="N869" s="86">
        <v>8.2283762557287358E-3</v>
      </c>
      <c r="O869" s="86">
        <f>AC854+1*L844</f>
        <v>275.33333333333337</v>
      </c>
      <c r="P869" s="86">
        <f>N869*1.5*((O869-K869)*500/2)</f>
        <v>299.30718630213283</v>
      </c>
    </row>
    <row r="870" spans="1:22" x14ac:dyDescent="0.25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9" t="s">
        <v>79</v>
      </c>
      <c r="L870" s="89">
        <f>SUM(L866:L869)</f>
        <v>70805.242988397047</v>
      </c>
      <c r="M870" s="62" t="s">
        <v>52</v>
      </c>
      <c r="N870" s="86">
        <v>0.99176424266951413</v>
      </c>
      <c r="O870" s="86">
        <f>AC854+0*L844</f>
        <v>263.33333333333337</v>
      </c>
      <c r="P870" s="86">
        <f>N870*1.5*((O870-K869)*500/2)</f>
        <v>31612.485235090775</v>
      </c>
      <c r="Q870" s="179" t="s">
        <v>80</v>
      </c>
      <c r="R870" s="179"/>
      <c r="S870" s="180">
        <f>D868+H869+L870+P871</f>
        <v>146845.97797715617</v>
      </c>
      <c r="T870" s="180"/>
    </row>
    <row r="871" spans="1:22" x14ac:dyDescent="0.25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9" t="s">
        <v>79</v>
      </c>
      <c r="P871" s="89">
        <f>SUM(P866:P870)</f>
        <v>31912.060904591384</v>
      </c>
      <c r="Q871" s="179"/>
      <c r="R871" s="179"/>
      <c r="S871" s="180"/>
      <c r="T871" s="180"/>
    </row>
    <row r="872" spans="1:22" x14ac:dyDescent="0.25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</row>
    <row r="873" spans="1:22" x14ac:dyDescent="0.25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</row>
    <row r="874" spans="1:22" x14ac:dyDescent="0.25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</row>
    <row r="875" spans="1:22" ht="24.75" thickBot="1" x14ac:dyDescent="0.3">
      <c r="O875" s="131" t="s">
        <v>81</v>
      </c>
      <c r="P875" s="131"/>
      <c r="Q875" s="131">
        <f>(R861+P861+M862+S870)/AC854</f>
        <v>976.72272868559867</v>
      </c>
      <c r="R875" s="131"/>
    </row>
    <row r="876" spans="1:22" x14ac:dyDescent="0.25">
      <c r="A876" s="181" t="s">
        <v>128</v>
      </c>
      <c r="B876" s="182"/>
    </row>
    <row r="877" spans="1:22" ht="15.75" thickBot="1" x14ac:dyDescent="0.3">
      <c r="A877" s="183"/>
      <c r="B877" s="184"/>
    </row>
    <row r="878" spans="1:22" ht="21" x14ac:dyDescent="0.35">
      <c r="A878" s="185" t="s">
        <v>14</v>
      </c>
      <c r="B878" s="185"/>
      <c r="C878" s="165"/>
      <c r="D878" s="165"/>
      <c r="E878" s="165"/>
      <c r="F878" s="165"/>
      <c r="G878" s="165"/>
      <c r="H878" s="165"/>
      <c r="I878" s="165"/>
      <c r="J878" s="165"/>
      <c r="K878" s="165"/>
      <c r="L878" s="165"/>
      <c r="M878" s="165"/>
      <c r="O878" s="166" t="s">
        <v>72</v>
      </c>
      <c r="P878" s="166"/>
      <c r="Q878" s="166"/>
      <c r="R878" s="166"/>
      <c r="S878" s="166"/>
      <c r="T878" s="166"/>
      <c r="U878" s="166"/>
      <c r="V878" s="166"/>
    </row>
    <row r="879" spans="1:22" ht="36" x14ac:dyDescent="0.25">
      <c r="A879" s="4" t="s">
        <v>15</v>
      </c>
      <c r="B879" s="4" t="s">
        <v>16</v>
      </c>
      <c r="C879" s="4" t="s">
        <v>31</v>
      </c>
      <c r="D879" s="6" t="s">
        <v>17</v>
      </c>
      <c r="E879" s="6" t="s">
        <v>18</v>
      </c>
      <c r="F879" s="6" t="s">
        <v>19</v>
      </c>
      <c r="G879" s="6" t="s">
        <v>20</v>
      </c>
      <c r="H879" s="6" t="s">
        <v>21</v>
      </c>
      <c r="I879" s="6" t="s">
        <v>22</v>
      </c>
      <c r="J879" s="6" t="s">
        <v>23</v>
      </c>
      <c r="K879" s="6" t="s">
        <v>24</v>
      </c>
      <c r="L879" s="6" t="s">
        <v>25</v>
      </c>
      <c r="M879" s="6" t="s">
        <v>26</v>
      </c>
      <c r="N879" s="8"/>
      <c r="O879" s="167" t="s">
        <v>32</v>
      </c>
      <c r="P879" s="167" t="s">
        <v>35</v>
      </c>
      <c r="Q879" s="167" t="s">
        <v>66</v>
      </c>
      <c r="R879" s="99" t="s">
        <v>67</v>
      </c>
      <c r="S879" s="99" t="s">
        <v>68</v>
      </c>
      <c r="T879" s="167" t="s">
        <v>69</v>
      </c>
      <c r="U879" s="71" t="s">
        <v>33</v>
      </c>
      <c r="V879" s="99" t="s">
        <v>70</v>
      </c>
    </row>
    <row r="880" spans="1:22" x14ac:dyDescent="0.25">
      <c r="A880" s="3" t="s">
        <v>27</v>
      </c>
      <c r="B880" s="3">
        <v>0</v>
      </c>
      <c r="C880" s="3">
        <v>0.3</v>
      </c>
      <c r="D880" s="3">
        <v>243</v>
      </c>
      <c r="E880" s="3">
        <v>1.73</v>
      </c>
      <c r="F880" s="3">
        <v>5</v>
      </c>
      <c r="G880" s="169">
        <v>12</v>
      </c>
      <c r="H880" s="3">
        <v>1820</v>
      </c>
      <c r="I880" s="169">
        <v>19645</v>
      </c>
      <c r="J880" s="3">
        <v>20</v>
      </c>
      <c r="K880" s="3">
        <v>40</v>
      </c>
      <c r="L880" s="3">
        <v>500</v>
      </c>
      <c r="M880" s="3">
        <v>1000</v>
      </c>
      <c r="O880" s="168"/>
      <c r="P880" s="168"/>
      <c r="Q880" s="168"/>
      <c r="R880" s="72" t="s">
        <v>71</v>
      </c>
      <c r="S880" s="72" t="s">
        <v>71</v>
      </c>
      <c r="T880" s="168"/>
      <c r="U880" s="73">
        <v>500</v>
      </c>
      <c r="V880" s="3">
        <v>1.5</v>
      </c>
    </row>
    <row r="881" spans="1:34" x14ac:dyDescent="0.25">
      <c r="A881" s="3" t="s">
        <v>28</v>
      </c>
      <c r="B881" s="3">
        <v>0</v>
      </c>
      <c r="C881" s="3">
        <v>0.3</v>
      </c>
      <c r="D881" s="3">
        <v>254</v>
      </c>
      <c r="E881" s="3">
        <v>1.88</v>
      </c>
      <c r="F881" s="3">
        <v>3</v>
      </c>
      <c r="G881" s="170"/>
      <c r="H881" s="3">
        <v>2720</v>
      </c>
      <c r="I881" s="170"/>
      <c r="J881" s="5"/>
      <c r="K881" s="5"/>
      <c r="L881" s="5"/>
      <c r="M881" s="5"/>
      <c r="O881" s="74">
        <v>1</v>
      </c>
      <c r="P881" s="74">
        <v>106</v>
      </c>
      <c r="Q881" s="74">
        <v>110</v>
      </c>
      <c r="R881" s="74">
        <v>6</v>
      </c>
      <c r="S881" s="74">
        <v>5</v>
      </c>
      <c r="T881" s="74">
        <f>R881*$U$5/60+S881</f>
        <v>55</v>
      </c>
      <c r="U881" s="75"/>
    </row>
    <row r="882" spans="1:34" x14ac:dyDescent="0.25">
      <c r="A882" s="3" t="s">
        <v>29</v>
      </c>
      <c r="B882" s="3">
        <v>0</v>
      </c>
      <c r="C882" s="3">
        <v>0.3</v>
      </c>
      <c r="D882" s="3">
        <v>143</v>
      </c>
      <c r="E882" s="3">
        <v>2.4300000000000002</v>
      </c>
      <c r="F882" s="3">
        <v>8</v>
      </c>
      <c r="G882" s="170"/>
      <c r="H882" s="3">
        <v>3700</v>
      </c>
      <c r="I882" s="170"/>
      <c r="J882" s="5"/>
      <c r="K882" s="140" t="s">
        <v>73</v>
      </c>
      <c r="L882" s="141">
        <v>12</v>
      </c>
      <c r="M882" s="140" t="s">
        <v>74</v>
      </c>
      <c r="N882" s="141">
        <v>19645</v>
      </c>
      <c r="O882" s="74">
        <v>2</v>
      </c>
      <c r="P882" s="74">
        <v>76</v>
      </c>
      <c r="Q882" s="74">
        <v>40</v>
      </c>
      <c r="R882" s="74">
        <v>9</v>
      </c>
      <c r="S882" s="74">
        <v>2</v>
      </c>
      <c r="T882" s="74">
        <f t="shared" ref="T882:T884" si="92">R882*$U$5/60+S882</f>
        <v>77</v>
      </c>
      <c r="U882" s="75"/>
    </row>
    <row r="883" spans="1:34" x14ac:dyDescent="0.25">
      <c r="A883" s="3" t="s">
        <v>30</v>
      </c>
      <c r="B883" s="3">
        <v>0</v>
      </c>
      <c r="C883" s="3">
        <v>0.3</v>
      </c>
      <c r="D883" s="3">
        <v>449</v>
      </c>
      <c r="E883" s="3">
        <v>2.5299999999999998</v>
      </c>
      <c r="F883" s="3">
        <v>4</v>
      </c>
      <c r="G883" s="171"/>
      <c r="H883" s="3">
        <v>4320</v>
      </c>
      <c r="I883" s="171"/>
      <c r="J883" s="5"/>
      <c r="K883" s="140"/>
      <c r="L883" s="141"/>
      <c r="M883" s="140"/>
      <c r="N883" s="141"/>
      <c r="O883" s="74">
        <v>3</v>
      </c>
      <c r="P883" s="74">
        <v>95</v>
      </c>
      <c r="Q883" s="74">
        <v>67</v>
      </c>
      <c r="R883" s="74">
        <v>5</v>
      </c>
      <c r="S883" s="74">
        <v>4</v>
      </c>
      <c r="T883" s="74">
        <f t="shared" si="92"/>
        <v>45.666666666666664</v>
      </c>
      <c r="U883" s="75"/>
    </row>
    <row r="884" spans="1:34" ht="15.75" thickBo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O884" s="74">
        <v>4</v>
      </c>
      <c r="P884" s="74">
        <v>140</v>
      </c>
      <c r="Q884" s="94">
        <v>85</v>
      </c>
      <c r="R884" s="94">
        <v>8</v>
      </c>
      <c r="S884" s="94">
        <v>3</v>
      </c>
      <c r="T884" s="74">
        <f t="shared" si="92"/>
        <v>69.666666666666671</v>
      </c>
    </row>
    <row r="885" spans="1:34" ht="15" customHeight="1" x14ac:dyDescent="0.25">
      <c r="A885" s="172" t="s">
        <v>104</v>
      </c>
      <c r="B885" s="144" t="s">
        <v>105</v>
      </c>
      <c r="C885" s="144"/>
      <c r="D885" s="144"/>
      <c r="E885" s="144"/>
      <c r="F885" s="20" t="s">
        <v>27</v>
      </c>
      <c r="G885" s="20" t="s">
        <v>28</v>
      </c>
      <c r="H885" s="20" t="s">
        <v>29</v>
      </c>
      <c r="I885" s="20" t="s">
        <v>30</v>
      </c>
    </row>
    <row r="886" spans="1:34" ht="15.75" customHeight="1" thickBot="1" x14ac:dyDescent="0.3">
      <c r="A886" s="173"/>
      <c r="B886" s="145"/>
      <c r="C886" s="145"/>
      <c r="D886" s="145"/>
      <c r="E886" s="145"/>
      <c r="F886" s="20">
        <v>84</v>
      </c>
      <c r="G886" s="26">
        <v>84</v>
      </c>
      <c r="H886" s="26">
        <v>84</v>
      </c>
      <c r="I886" s="26">
        <v>252</v>
      </c>
    </row>
    <row r="887" spans="1:34" ht="15.75" customHeight="1" thickBot="1" x14ac:dyDescent="0.3">
      <c r="A887" s="173"/>
      <c r="B887" s="145"/>
      <c r="C887" s="145"/>
      <c r="D887" s="145"/>
      <c r="E887" s="145"/>
      <c r="F887" s="7"/>
      <c r="G887" s="146" t="s">
        <v>27</v>
      </c>
      <c r="H887" s="147"/>
      <c r="I887" s="147"/>
      <c r="J887" s="147"/>
      <c r="K887" s="148"/>
      <c r="L887" s="149" t="s">
        <v>28</v>
      </c>
      <c r="M887" s="150"/>
      <c r="N887" s="150"/>
      <c r="O887" s="150"/>
      <c r="P887" s="151"/>
      <c r="Q887" s="152" t="s">
        <v>29</v>
      </c>
      <c r="R887" s="153"/>
      <c r="S887" s="153"/>
      <c r="T887" s="153"/>
      <c r="U887" s="154"/>
      <c r="V887" s="155" t="s">
        <v>30</v>
      </c>
      <c r="W887" s="156"/>
      <c r="X887" s="156"/>
      <c r="Y887" s="156"/>
      <c r="Z887" s="157"/>
      <c r="AA887" s="158" t="s">
        <v>42</v>
      </c>
      <c r="AB887" s="159"/>
      <c r="AC887" s="160" t="s">
        <v>44</v>
      </c>
      <c r="AD887" s="162" t="s">
        <v>47</v>
      </c>
      <c r="AE887" s="163"/>
      <c r="AF887" s="163"/>
      <c r="AG887" s="164"/>
      <c r="AH887" s="138" t="s">
        <v>62</v>
      </c>
    </row>
    <row r="888" spans="1:34" ht="36.75" x14ac:dyDescent="0.25">
      <c r="A888" s="21" t="s">
        <v>32</v>
      </c>
      <c r="B888" s="22" t="s">
        <v>37</v>
      </c>
      <c r="C888" s="23" t="s">
        <v>33</v>
      </c>
      <c r="D888" s="22" t="s">
        <v>38</v>
      </c>
      <c r="E888" s="22" t="s">
        <v>34</v>
      </c>
      <c r="F888" s="25" t="s">
        <v>35</v>
      </c>
      <c r="G888" s="27" t="s">
        <v>39</v>
      </c>
      <c r="H888" s="10" t="s">
        <v>40</v>
      </c>
      <c r="I888" s="10" t="s">
        <v>45</v>
      </c>
      <c r="J888" s="10" t="s">
        <v>46</v>
      </c>
      <c r="K888" s="28" t="s">
        <v>41</v>
      </c>
      <c r="L888" s="30" t="s">
        <v>39</v>
      </c>
      <c r="M888" s="13" t="s">
        <v>40</v>
      </c>
      <c r="N888" s="13" t="s">
        <v>45</v>
      </c>
      <c r="O888" s="13" t="s">
        <v>46</v>
      </c>
      <c r="P888" s="31" t="s">
        <v>41</v>
      </c>
      <c r="Q888" s="33" t="s">
        <v>39</v>
      </c>
      <c r="R888" s="12" t="s">
        <v>40</v>
      </c>
      <c r="S888" s="12" t="s">
        <v>45</v>
      </c>
      <c r="T888" s="12" t="s">
        <v>46</v>
      </c>
      <c r="U888" s="34" t="s">
        <v>41</v>
      </c>
      <c r="V888" s="36" t="s">
        <v>39</v>
      </c>
      <c r="W888" s="11" t="s">
        <v>40</v>
      </c>
      <c r="X888" s="11" t="s">
        <v>45</v>
      </c>
      <c r="Y888" s="11" t="s">
        <v>46</v>
      </c>
      <c r="Z888" s="37" t="s">
        <v>41</v>
      </c>
      <c r="AA888" s="39" t="s">
        <v>41</v>
      </c>
      <c r="AB888" s="40" t="s">
        <v>43</v>
      </c>
      <c r="AC888" s="161"/>
      <c r="AD888" s="43" t="s">
        <v>27</v>
      </c>
      <c r="AE888" s="1" t="s">
        <v>28</v>
      </c>
      <c r="AF888" s="1" t="s">
        <v>29</v>
      </c>
      <c r="AG888" s="1" t="s">
        <v>30</v>
      </c>
      <c r="AH888" s="139"/>
    </row>
    <row r="889" spans="1:34" x14ac:dyDescent="0.25">
      <c r="A889" s="24">
        <v>4</v>
      </c>
      <c r="B889" s="9">
        <v>8</v>
      </c>
      <c r="C889" s="9">
        <v>500</v>
      </c>
      <c r="D889" s="9">
        <v>3</v>
      </c>
      <c r="E889" s="48">
        <f>B889*C889/60+D889</f>
        <v>69.666666666666671</v>
      </c>
      <c r="F889" s="100">
        <v>140</v>
      </c>
      <c r="G889" s="49">
        <f>B$5*(1-AD889*C$5)</f>
        <v>0</v>
      </c>
      <c r="H889" s="50">
        <f>G889+E889</f>
        <v>69.666666666666671</v>
      </c>
      <c r="I889" s="15">
        <f>(H889/D$5)^E$5</f>
        <v>0.11516869637804684</v>
      </c>
      <c r="J889" s="15">
        <f>(G889/D$5)^E$5</f>
        <v>0</v>
      </c>
      <c r="K889" s="29">
        <f>1-EXP(J889-I889)</f>
        <v>0.10878421365041502</v>
      </c>
      <c r="L889" s="51">
        <f>B$6*(1-AE889*C$6)</f>
        <v>0</v>
      </c>
      <c r="M889" s="52">
        <f>L889+E889</f>
        <v>69.666666666666671</v>
      </c>
      <c r="N889" s="17">
        <f>(M889/D$6)^E$6</f>
        <v>8.7861714115895329E-2</v>
      </c>
      <c r="O889" s="17">
        <f>(L889/D$6)^E$6</f>
        <v>0</v>
      </c>
      <c r="P889" s="32">
        <f>1-EXP(O889-N889)</f>
        <v>8.4112477717763534E-2</v>
      </c>
      <c r="Q889" s="53">
        <f>B$7*(1-AF889*C$7)</f>
        <v>0</v>
      </c>
      <c r="R889" s="54">
        <f>Q889+E889</f>
        <v>69.666666666666671</v>
      </c>
      <c r="S889" s="16">
        <f>(R889/D$7)^E$7</f>
        <v>0.17421448251746105</v>
      </c>
      <c r="T889" s="16">
        <f>(Q889/D$7)^E$7</f>
        <v>0</v>
      </c>
      <c r="U889" s="35">
        <f>1-EXP(T889-S889)</f>
        <v>0.15988331200899064</v>
      </c>
      <c r="V889" s="55">
        <f>B$8*(1-AG889*C$8)</f>
        <v>0</v>
      </c>
      <c r="W889" s="56">
        <f>V889+E889</f>
        <v>69.666666666666671</v>
      </c>
      <c r="X889" s="18">
        <f>(W889/D$8)^E$8</f>
        <v>8.9674731846197935E-3</v>
      </c>
      <c r="Y889" s="18">
        <f>(V889/D$8)^E$8</f>
        <v>0</v>
      </c>
      <c r="Z889" s="38">
        <f>1-EXP(Y889-X889)</f>
        <v>8.9273853154187011E-3</v>
      </c>
      <c r="AA889" s="41">
        <f>K889*P889*U889*Z889</f>
        <v>1.3060317021926209E-5</v>
      </c>
      <c r="AB889" s="42">
        <f>1-AA889</f>
        <v>0.99998693968297803</v>
      </c>
      <c r="AC889" s="47">
        <f>(AD889*F$5+AE889*F$6+AF889*F$7+AG889*F$8)+E889</f>
        <v>69.666666666666671</v>
      </c>
      <c r="AD889" s="43">
        <v>0</v>
      </c>
      <c r="AE889" s="1">
        <v>0</v>
      </c>
      <c r="AF889" s="1">
        <v>0</v>
      </c>
      <c r="AG889" s="1">
        <v>0</v>
      </c>
      <c r="AH889" s="74">
        <v>85</v>
      </c>
    </row>
    <row r="890" spans="1:34" x14ac:dyDescent="0.25">
      <c r="A890" s="76">
        <v>3</v>
      </c>
      <c r="B890" s="58">
        <v>5</v>
      </c>
      <c r="C890" s="9">
        <v>500</v>
      </c>
      <c r="D890" s="58">
        <v>4</v>
      </c>
      <c r="E890" s="48">
        <f t="shared" ref="E890:E892" si="93">B890*C890/60+D890</f>
        <v>45.666666666666664</v>
      </c>
      <c r="F890" s="100">
        <v>95</v>
      </c>
      <c r="G890" s="49">
        <f>H889*(1-AD890*C$5)</f>
        <v>69.666666666666671</v>
      </c>
      <c r="H890" s="50">
        <f>G890+E890</f>
        <v>115.33333333333334</v>
      </c>
      <c r="I890" s="15">
        <f>(H890/D$5)^E$5</f>
        <v>0.27547552976184858</v>
      </c>
      <c r="J890" s="15">
        <f>(G890/D$5)^E$5</f>
        <v>0.11516869637804684</v>
      </c>
      <c r="K890" s="29">
        <f>1-EXP(J890-I890)</f>
        <v>0.14811763708687153</v>
      </c>
      <c r="L890" s="51">
        <f>M889*(1-AE890*C$6)</f>
        <v>69.666666666666671</v>
      </c>
      <c r="M890" s="52">
        <f>L890+E890</f>
        <v>115.33333333333334</v>
      </c>
      <c r="N890" s="17">
        <f>(M890/D$6)^E$6</f>
        <v>0.22666669883015245</v>
      </c>
      <c r="O890" s="17">
        <f>(L890/D$6)^E$6</f>
        <v>8.7861714115895329E-2</v>
      </c>
      <c r="P890" s="32">
        <f>1-EXP(O890-N890)</f>
        <v>0.12960224722523705</v>
      </c>
      <c r="Q890" s="53">
        <f>R889*(1-AF890*C$7)</f>
        <v>69.666666666666671</v>
      </c>
      <c r="R890" s="54">
        <f>Q890+E890</f>
        <v>115.33333333333334</v>
      </c>
      <c r="S890" s="16">
        <f>(R890/D$7)^E$7</f>
        <v>0.59303960801780564</v>
      </c>
      <c r="T890" s="16">
        <f>(Q890/D$7)^E$7</f>
        <v>0.17421448251746105</v>
      </c>
      <c r="U890" s="35">
        <f>1-EXP(T890-S890)</f>
        <v>0.34218077898287225</v>
      </c>
      <c r="V890" s="55">
        <f>W889*(1-AG890*C$8)</f>
        <v>69.666666666666671</v>
      </c>
      <c r="W890" s="56">
        <f>V890+E890</f>
        <v>115.33333333333334</v>
      </c>
      <c r="X890" s="18">
        <f>(W890/D$8)^E$8</f>
        <v>3.2104248826077181E-2</v>
      </c>
      <c r="Y890" s="18">
        <f>(V890/D$8)^E$8</f>
        <v>8.9674731846197935E-3</v>
      </c>
      <c r="Z890" s="38">
        <f>1-EXP(Y890-X890)</f>
        <v>2.2871172789123873E-2</v>
      </c>
      <c r="AA890" s="41">
        <f>K890*P890*U890*Z890</f>
        <v>1.502323126547819E-4</v>
      </c>
      <c r="AB890" s="42">
        <f>1-AA890</f>
        <v>0.99984976768734524</v>
      </c>
      <c r="AC890" s="47">
        <f>AF890*F$7+E890+AC889</f>
        <v>115.33333333333334</v>
      </c>
      <c r="AD890" s="43">
        <v>0</v>
      </c>
      <c r="AE890" s="1">
        <v>0</v>
      </c>
      <c r="AF890" s="1">
        <v>0</v>
      </c>
      <c r="AG890" s="1">
        <v>0</v>
      </c>
      <c r="AH890" s="74">
        <v>67</v>
      </c>
    </row>
    <row r="891" spans="1:34" x14ac:dyDescent="0.25">
      <c r="A891" s="24">
        <v>2</v>
      </c>
      <c r="B891" s="9">
        <v>9</v>
      </c>
      <c r="C891" s="58">
        <v>500</v>
      </c>
      <c r="D891" s="58">
        <v>2</v>
      </c>
      <c r="E891" s="48">
        <f t="shared" si="93"/>
        <v>77</v>
      </c>
      <c r="F891" s="100">
        <v>76</v>
      </c>
      <c r="G891" s="68">
        <f>H890*(1-AD891*C$5)</f>
        <v>80.733333333333334</v>
      </c>
      <c r="H891" s="69">
        <f>G891+E891</f>
        <v>157.73333333333335</v>
      </c>
      <c r="I891" s="70">
        <f>(H891/D$5)^E$5</f>
        <v>0.473487773687709</v>
      </c>
      <c r="J891" s="70">
        <f>(G891/D$5)^E$5</f>
        <v>0.14862868526677991</v>
      </c>
      <c r="K891" s="29">
        <f>1-EXP(J891-I891)</f>
        <v>0.27737082671398927</v>
      </c>
      <c r="L891" s="51">
        <f>M890*(1-AE891*C$6)</f>
        <v>80.733333333333334</v>
      </c>
      <c r="M891" s="52">
        <f>L891+E891</f>
        <v>157.73333333333335</v>
      </c>
      <c r="N891" s="17">
        <f>(M891/D$6)^E$6</f>
        <v>0.40832762011069829</v>
      </c>
      <c r="O891" s="17">
        <f>(L891/D$6)^E$6</f>
        <v>0.11592364675943075</v>
      </c>
      <c r="P891" s="32">
        <f>1-EXP(O891-N891)</f>
        <v>0.25353307768869848</v>
      </c>
      <c r="Q891" s="53">
        <f>R890*(1-AF891*C$7)</f>
        <v>80.733333333333334</v>
      </c>
      <c r="R891" s="54">
        <f>Q891+E891</f>
        <v>157.73333333333335</v>
      </c>
      <c r="S891" s="16">
        <f>(R891/D$7)^E$7</f>
        <v>1.269075582984684</v>
      </c>
      <c r="T891" s="16">
        <f>(Q891/D$7)^E$7</f>
        <v>0.24927110408438607</v>
      </c>
      <c r="U891" s="35">
        <f>1-EXP(T891-S891)</f>
        <v>0.63933454901472087</v>
      </c>
      <c r="V891" s="55">
        <f>W890*(1-AG891*C$8)</f>
        <v>115.33333333333334</v>
      </c>
      <c r="W891" s="56">
        <f>V891+E891</f>
        <v>192.33333333333334</v>
      </c>
      <c r="X891" s="18">
        <f>(W891/D$8)^E$8</f>
        <v>0.11707786390726455</v>
      </c>
      <c r="Y891" s="18">
        <f>(V891/D$8)^E$8</f>
        <v>3.2104248826077181E-2</v>
      </c>
      <c r="Z891" s="38">
        <f>1-EXP(Y891-X891)</f>
        <v>8.1463480406769873E-2</v>
      </c>
      <c r="AA891" s="41">
        <f>K891*P891*U891*Z891</f>
        <v>3.6625751465290003E-3</v>
      </c>
      <c r="AB891" s="42">
        <f>1-AA891</f>
        <v>0.99633742485347099</v>
      </c>
      <c r="AC891" s="47">
        <f>(AF891*F$7)+E891+AC890</f>
        <v>200.33333333333334</v>
      </c>
      <c r="AD891" s="77">
        <v>1</v>
      </c>
      <c r="AE891" s="78">
        <v>1</v>
      </c>
      <c r="AF891" s="78">
        <v>1</v>
      </c>
      <c r="AG891" s="78">
        <v>0</v>
      </c>
      <c r="AH891" s="74">
        <v>40</v>
      </c>
    </row>
    <row r="892" spans="1:34" ht="15.75" thickBot="1" x14ac:dyDescent="0.3">
      <c r="A892" s="57">
        <v>1</v>
      </c>
      <c r="B892" s="58">
        <v>6</v>
      </c>
      <c r="C892" s="58">
        <v>500</v>
      </c>
      <c r="D892" s="9">
        <v>5</v>
      </c>
      <c r="E892" s="48">
        <f t="shared" si="93"/>
        <v>55</v>
      </c>
      <c r="F892" s="100">
        <v>106</v>
      </c>
      <c r="G892" s="68">
        <f>H891*(1-AD892*C$5)</f>
        <v>110.41333333333334</v>
      </c>
      <c r="H892" s="69">
        <f>G892+E892</f>
        <v>165.41333333333336</v>
      </c>
      <c r="I892" s="70">
        <f>(H892/D$5)^E$5</f>
        <v>0.51407695397697584</v>
      </c>
      <c r="J892" s="70">
        <f>(G892/D$5)^E$5</f>
        <v>0.25546321792697063</v>
      </c>
      <c r="K892" s="29">
        <f>1-EXP(J892-I892)</f>
        <v>0.22787879196136918</v>
      </c>
      <c r="L892" s="51">
        <f>M891*(1-AE892*C$6)</f>
        <v>110.41333333333334</v>
      </c>
      <c r="M892" s="52">
        <f>L892+E892</f>
        <v>165.41333333333336</v>
      </c>
      <c r="N892" s="17">
        <f>(M892/D$6)^E$6</f>
        <v>0.44650381920973092</v>
      </c>
      <c r="O892" s="17">
        <f>(L892/D$6)^E$6</f>
        <v>0.20883008858438834</v>
      </c>
      <c r="P892" s="32">
        <f>1-EXP(O892-N892)</f>
        <v>0.21154010054978001</v>
      </c>
      <c r="Q892" s="53">
        <f>R891*(1-AF892*C$7)</f>
        <v>110.41333333333334</v>
      </c>
      <c r="R892" s="54">
        <f>Q892+E892</f>
        <v>165.41333333333336</v>
      </c>
      <c r="S892" s="16">
        <f>(R892/D$7)^E$7</f>
        <v>1.4244912195012376</v>
      </c>
      <c r="T892" s="16">
        <f>(Q892/D$7)^E$7</f>
        <v>0.53342789833968418</v>
      </c>
      <c r="U892" s="35">
        <f>1-EXP(T892-S892)</f>
        <v>0.58978067412758073</v>
      </c>
      <c r="V892" s="55">
        <f>W891*(1-AG892*C$8)</f>
        <v>192.33333333333334</v>
      </c>
      <c r="W892" s="56">
        <f>V892+E892</f>
        <v>247.33333333333334</v>
      </c>
      <c r="X892" s="18">
        <f>(W892/D$8)^E$8</f>
        <v>0.22121871391987213</v>
      </c>
      <c r="Y892" s="18">
        <f>(V892/D$8)^E$8</f>
        <v>0.11707786390726455</v>
      </c>
      <c r="Z892" s="38">
        <f>1-EXP(Y892-X892)</f>
        <v>9.8901631234138088E-2</v>
      </c>
      <c r="AA892" s="41">
        <f>K892*P892*U892*Z892</f>
        <v>2.8118400158315101E-3</v>
      </c>
      <c r="AB892" s="42">
        <f>1-AA892</f>
        <v>0.99718815998416854</v>
      </c>
      <c r="AC892" s="47">
        <f>(AF892*F$7)+E892+AC891</f>
        <v>263.33333333333337</v>
      </c>
      <c r="AD892" s="80">
        <v>1</v>
      </c>
      <c r="AE892" s="45">
        <v>1</v>
      </c>
      <c r="AF892" s="81">
        <v>1</v>
      </c>
      <c r="AG892" s="45">
        <v>0</v>
      </c>
      <c r="AH892" s="94">
        <v>110</v>
      </c>
    </row>
    <row r="893" spans="1:34" ht="18.75" x14ac:dyDescent="0.3">
      <c r="A893" s="132" t="s">
        <v>53</v>
      </c>
      <c r="B893" s="132"/>
      <c r="C893" s="132"/>
      <c r="D893" s="132"/>
      <c r="E893" s="132"/>
      <c r="F893" s="132"/>
      <c r="G893" s="132"/>
      <c r="H893" s="132"/>
      <c r="I893" s="132"/>
      <c r="J893" s="132"/>
      <c r="AG893" s="46"/>
    </row>
    <row r="894" spans="1:34" ht="15.75" x14ac:dyDescent="0.25">
      <c r="A894" s="19" t="s">
        <v>82</v>
      </c>
      <c r="B894" s="60" t="s">
        <v>49</v>
      </c>
      <c r="C894" s="61" t="s">
        <v>50</v>
      </c>
      <c r="D894" s="19" t="s">
        <v>48</v>
      </c>
      <c r="E894" s="60" t="s">
        <v>57</v>
      </c>
      <c r="F894" s="61" t="s">
        <v>50</v>
      </c>
      <c r="G894" s="19" t="s">
        <v>54</v>
      </c>
      <c r="H894" s="60" t="s">
        <v>61</v>
      </c>
      <c r="I894" s="61" t="s">
        <v>50</v>
      </c>
      <c r="J894" s="19" t="s">
        <v>58</v>
      </c>
      <c r="K894" s="83" t="s">
        <v>84</v>
      </c>
      <c r="L894" s="61" t="s">
        <v>50</v>
      </c>
      <c r="M894" s="61" t="s">
        <v>85</v>
      </c>
      <c r="O894" s="174" t="s">
        <v>64</v>
      </c>
      <c r="P894" s="174"/>
      <c r="Q894" s="175" t="s">
        <v>109</v>
      </c>
      <c r="R894" s="175"/>
    </row>
    <row r="895" spans="1:34" ht="24.75" x14ac:dyDescent="0.25">
      <c r="A895" s="61" t="s">
        <v>51</v>
      </c>
      <c r="B895" s="1">
        <f>AA889</f>
        <v>1.3060317021926209E-5</v>
      </c>
      <c r="C895" s="59">
        <f>MAX(AC889+1*L882-F889,0)</f>
        <v>0</v>
      </c>
      <c r="D895" s="62" t="s">
        <v>55</v>
      </c>
      <c r="E895" s="1">
        <f>AA889*AA890</f>
        <v>1.9620816302085884E-9</v>
      </c>
      <c r="F895" s="1">
        <f>MAX(AC890+2*L882-F890,0)</f>
        <v>44.333333333333343</v>
      </c>
      <c r="G895" s="62" t="s">
        <v>59</v>
      </c>
      <c r="H895" s="1">
        <f>AA889*AA890*AA891</f>
        <v>7.1862714142630804E-12</v>
      </c>
      <c r="I895" s="1">
        <f>AC891+3*L882-F891</f>
        <v>160.33333333333334</v>
      </c>
      <c r="J895" s="62" t="s">
        <v>83</v>
      </c>
      <c r="K895" s="1">
        <f>AA889*AA890*AA891*AA892</f>
        <v>2.0206645527251028E-14</v>
      </c>
      <c r="L895" s="1">
        <f>AC892+4*L882-F892</f>
        <v>205.33333333333337</v>
      </c>
      <c r="M895" s="1">
        <f>B895*C895*AH889+E895*F895*AH890+H895*I895*AH891+K895*L895*AH892</f>
        <v>5.8745808237000279E-6</v>
      </c>
      <c r="O895" s="1" t="s">
        <v>27</v>
      </c>
      <c r="P895" s="1">
        <f>2*H880</f>
        <v>3640</v>
      </c>
      <c r="Q895" s="1">
        <f>(K889*(1-P889)*(1-U889)*(1-Z889))+(P889*(1-K889)*(1-U889)*(1-Z889))+(U889*(1-K889)*(1-P889)*(1-Z889))+(Z889*(1-K889)*(1-P889)*(1-U889))</f>
        <v>0.28083409477630866</v>
      </c>
      <c r="R895" s="1">
        <f>Q895*(L$7*(J$5*K$5+L$5)+I$5)</f>
        <v>9897.9976703909997</v>
      </c>
    </row>
    <row r="896" spans="1:34" ht="24.75" x14ac:dyDescent="0.25">
      <c r="A896" s="62" t="s">
        <v>52</v>
      </c>
      <c r="B896" s="1">
        <f>AB889</f>
        <v>0.99998693968297803</v>
      </c>
      <c r="C896" s="59">
        <f>MAX(AC889-F889,0)</f>
        <v>0</v>
      </c>
      <c r="D896" s="62" t="s">
        <v>56</v>
      </c>
      <c r="E896" s="1">
        <f>AA889*AB890+AA890*AB889</f>
        <v>1.6328870551344767E-4</v>
      </c>
      <c r="F896" s="1">
        <f>MAX(AC890+1*L882-F890,0)</f>
        <v>32.333333333333343</v>
      </c>
      <c r="G896" s="62" t="s">
        <v>60</v>
      </c>
      <c r="H896" s="1">
        <f>AA889*AA890*AB891+AA890*AA891*AB889+AA889*AA891*AB890</f>
        <v>6.0001204988124075E-7</v>
      </c>
      <c r="I896" s="1">
        <f>AC891+2*L882-F891</f>
        <v>148.33333333333334</v>
      </c>
      <c r="J896" s="62" t="s">
        <v>59</v>
      </c>
      <c r="K896">
        <f>AB889*AA890*AA891*AA892+AB890*AA889*AA891*AA892*+AB891*AA889*AA890*AA892+AB892*AA889*AA890*AA891</f>
        <v>1.5543246512058661E-9</v>
      </c>
      <c r="L896" s="1">
        <f>AC892+3*L882-F892</f>
        <v>193.33333333333337</v>
      </c>
      <c r="M896" s="1">
        <f>B896*C896*AH889+E896*F896*AH890+H896*I896*AH891+K896*L896*AH892</f>
        <v>0.35733089251084321</v>
      </c>
      <c r="O896" s="1" t="s">
        <v>28</v>
      </c>
      <c r="P896" s="1">
        <f>2*H881</f>
        <v>5440</v>
      </c>
      <c r="Q896" s="1">
        <f t="shared" ref="Q896:Q898" si="94">(K890*(1-P890)*(1-U890)*(1-Z890))+(P890*(1-K890)*(1-U890)*(1-Z890))+(U890*(1-K890)*(1-P890)*(1-Z890))+(Z890*(1-K890)*(1-P890)*(1-U890))</f>
        <v>0.41290502350113689</v>
      </c>
      <c r="R896" s="1">
        <f t="shared" ref="R896:R898" si="95">Q896*(L$7*(J$5*K$5+L$5)+I$5)</f>
        <v>14552.83755329757</v>
      </c>
    </row>
    <row r="897" spans="1:20" ht="24.75" x14ac:dyDescent="0.25">
      <c r="A897" s="1"/>
      <c r="B897" s="1"/>
      <c r="C897" s="1"/>
      <c r="D897" s="62" t="s">
        <v>52</v>
      </c>
      <c r="E897" s="1">
        <f>AB889*AB890</f>
        <v>0.99983670933240487</v>
      </c>
      <c r="F897" s="59">
        <f>MAX(AC890-F890,0)</f>
        <v>20.333333333333343</v>
      </c>
      <c r="G897" s="62" t="s">
        <v>56</v>
      </c>
      <c r="H897" s="1">
        <f>AA889*AB890*AB891+AA890*AB889*AB891*+AA891*AB889*AB890</f>
        <v>1.3558652905424625E-5</v>
      </c>
      <c r="I897" s="1">
        <f>AC891+1*L882-F891</f>
        <v>136.33333333333334</v>
      </c>
      <c r="J897" s="62" t="s">
        <v>60</v>
      </c>
      <c r="K897" s="1">
        <f>AA889*AA890*AB891*AB892 + AA889*AA891*AB890*AB892 + AA889*AA892*AB890*AB891 + AA890*AA891*AB889*AB892 + AA890*AA892*AB889*AB891 + AA891*AA892*AB889*AB890</f>
        <v>1.1352678684001316E-5</v>
      </c>
      <c r="L897" s="1">
        <f>AC892+2*L882-F892</f>
        <v>181.33333333333337</v>
      </c>
      <c r="M897" s="1">
        <f>B897*C897*AH889+E897*F897*AH890+H897*I897*AH891+K897*L897*AH892</f>
        <v>1362.4112649651745</v>
      </c>
      <c r="O897" s="1" t="s">
        <v>29</v>
      </c>
      <c r="P897" s="1">
        <f>2*(F882*(J880*K880+L880)+H882)</f>
        <v>28200</v>
      </c>
      <c r="Q897" s="1">
        <f t="shared" si="94"/>
        <v>0.46191008582700943</v>
      </c>
      <c r="R897" s="1">
        <f t="shared" si="95"/>
        <v>16280.020974972947</v>
      </c>
    </row>
    <row r="898" spans="1:20" ht="24.75" x14ac:dyDescent="0.25">
      <c r="A898" s="1"/>
      <c r="B898" s="1"/>
      <c r="C898" s="1"/>
      <c r="D898" s="1"/>
      <c r="E898" s="1"/>
      <c r="F898" s="1"/>
      <c r="G898" s="62" t="s">
        <v>52</v>
      </c>
      <c r="H898" s="1">
        <f>AB889*AB890*AB891</f>
        <v>0.99617473225021669</v>
      </c>
      <c r="I898" s="63">
        <f>AC891-F891</f>
        <v>124.33333333333334</v>
      </c>
      <c r="J898" s="62" t="s">
        <v>56</v>
      </c>
      <c r="K898" s="1">
        <f>AA889*AB890*AB891*AB892+AA890*AB889*AB891*AB892+AA891*AB889*AB890*AB892+AA892*AB889*AB890*AB891</f>
        <v>6.6149973516765204E-3</v>
      </c>
      <c r="L898" s="1">
        <f>AC892+1*L882-F892</f>
        <v>169.33333333333337</v>
      </c>
      <c r="M898" s="1">
        <f>B898*C898*AH889+E898*F898*AH890+H898*I898*AH891+K898*L898*AH892</f>
        <v>5077.524352394973</v>
      </c>
      <c r="O898" s="1" t="s">
        <v>30</v>
      </c>
      <c r="P898" s="1">
        <v>0</v>
      </c>
      <c r="Q898" s="1">
        <f t="shared" si="94"/>
        <v>0.47503135818838715</v>
      </c>
      <c r="R898" s="1">
        <f t="shared" si="95"/>
        <v>16742.480219349705</v>
      </c>
    </row>
    <row r="899" spans="1:20" ht="30" x14ac:dyDescent="0.25">
      <c r="I899" s="84"/>
      <c r="J899" s="62" t="s">
        <v>52</v>
      </c>
      <c r="K899" s="85">
        <f>AB889*AB890*AB891*AB892</f>
        <v>0.99337364827531538</v>
      </c>
      <c r="L899" s="1">
        <f>AC892+0*L882-F892</f>
        <v>157.33333333333337</v>
      </c>
      <c r="M899" s="1">
        <f>B899*C899*AH889+E899*F899*AH890+H899*I899*AH891+K899*L899*AH892</f>
        <v>17191.986606151462</v>
      </c>
      <c r="O899" s="64" t="s">
        <v>65</v>
      </c>
      <c r="P899" s="65">
        <f>SUM(P895:P898)</f>
        <v>37280</v>
      </c>
      <c r="Q899" s="96" t="s">
        <v>108</v>
      </c>
      <c r="R899" s="97">
        <f>SUM(R895:R898)</f>
        <v>57473.336418011226</v>
      </c>
    </row>
    <row r="900" spans="1:20" x14ac:dyDescent="0.25">
      <c r="L900" s="176" t="s">
        <v>63</v>
      </c>
      <c r="M900" s="177">
        <f>SUM(M895:M899)</f>
        <v>23632.279560278701</v>
      </c>
    </row>
    <row r="901" spans="1:20" x14ac:dyDescent="0.25">
      <c r="L901" s="176"/>
      <c r="M901" s="177"/>
    </row>
    <row r="902" spans="1:20" x14ac:dyDescent="0.25">
      <c r="A902" s="178" t="s">
        <v>90</v>
      </c>
      <c r="B902" s="178"/>
      <c r="C902" s="178"/>
      <c r="D902" s="178"/>
      <c r="E902" s="178"/>
      <c r="F902" s="178"/>
      <c r="G902" s="178"/>
      <c r="H902" s="178"/>
      <c r="I902" s="178"/>
      <c r="J902" s="178"/>
      <c r="K902" s="178"/>
      <c r="L902" s="178"/>
      <c r="M902" s="178"/>
      <c r="N902" s="178"/>
    </row>
    <row r="903" spans="1:20" ht="15.75" x14ac:dyDescent="0.25">
      <c r="A903" s="87" t="s">
        <v>86</v>
      </c>
      <c r="B903" s="62" t="s">
        <v>49</v>
      </c>
      <c r="C903" s="90" t="s">
        <v>103</v>
      </c>
      <c r="D903" s="62" t="s">
        <v>88</v>
      </c>
      <c r="E903" s="87" t="s">
        <v>75</v>
      </c>
      <c r="F903" s="62" t="s">
        <v>57</v>
      </c>
      <c r="G903" s="90" t="s">
        <v>87</v>
      </c>
      <c r="H903" s="62" t="s">
        <v>88</v>
      </c>
      <c r="I903" s="87" t="s">
        <v>76</v>
      </c>
      <c r="J903" s="62" t="s">
        <v>61</v>
      </c>
      <c r="K903" s="90" t="s">
        <v>102</v>
      </c>
      <c r="L903" s="62" t="s">
        <v>88</v>
      </c>
      <c r="M903" s="87" t="s">
        <v>77</v>
      </c>
      <c r="N903" s="62" t="s">
        <v>84</v>
      </c>
      <c r="O903" s="90" t="s">
        <v>78</v>
      </c>
      <c r="P903" s="62" t="s">
        <v>88</v>
      </c>
    </row>
    <row r="904" spans="1:20" ht="24.75" x14ac:dyDescent="0.25">
      <c r="A904" s="62" t="s">
        <v>51</v>
      </c>
      <c r="B904" s="86">
        <v>1.3060317021926209E-5</v>
      </c>
      <c r="C904" s="86">
        <f>AC889+1*L882</f>
        <v>81.666666666666671</v>
      </c>
      <c r="D904" s="86">
        <f>MAX(B904*1.5*((C904-F889)*500/2),0)</f>
        <v>0</v>
      </c>
      <c r="E904" s="62" t="s">
        <v>55</v>
      </c>
      <c r="F904" s="86">
        <v>1.9620816302085884E-9</v>
      </c>
      <c r="G904" s="86">
        <f>AC890+2*L882</f>
        <v>139.33333333333334</v>
      </c>
      <c r="H904" s="86">
        <f>F904*1.5*((G904-F890)*500/2+(G904-F891)*500+(G904-F892)*500)</f>
        <v>1.7487052529234045E-4</v>
      </c>
      <c r="I904" s="62" t="s">
        <v>59</v>
      </c>
      <c r="J904" s="86">
        <v>7.1862714142630804E-12</v>
      </c>
      <c r="K904" s="86">
        <f>AC891+3*L882</f>
        <v>236.33333333333334</v>
      </c>
      <c r="L904" s="86">
        <f>J904*1.5*((K904-G904)*500/2+(K904-G904)*500)</f>
        <v>7.8420186808145857E-7</v>
      </c>
      <c r="M904" s="62" t="s">
        <v>83</v>
      </c>
      <c r="N904" s="86">
        <v>2.0206645527251028E-14</v>
      </c>
      <c r="O904" s="86">
        <f>AC892+4*L882</f>
        <v>311.33333333333337</v>
      </c>
      <c r="P904" s="86">
        <f>N904*1.5*((O904-K904)*500/2)</f>
        <v>5.683119054539354E-10</v>
      </c>
    </row>
    <row r="905" spans="1:20" ht="24.75" x14ac:dyDescent="0.25">
      <c r="A905" s="62" t="s">
        <v>52</v>
      </c>
      <c r="B905" s="86">
        <v>0.99998693968297803</v>
      </c>
      <c r="C905" s="88">
        <f>AC889</f>
        <v>69.666666666666671</v>
      </c>
      <c r="D905" s="86">
        <f>MAX(B905*1.5*((C905-F889)*500/2),0)</f>
        <v>0</v>
      </c>
      <c r="E905" s="62" t="s">
        <v>56</v>
      </c>
      <c r="F905" s="86">
        <v>1.6328870551344767E-4</v>
      </c>
      <c r="G905" s="86">
        <f>AC890+1*L882</f>
        <v>127.33333333333334</v>
      </c>
      <c r="H905" s="86">
        <f>F905*1.5*((G905-F890)*500/2+(G905-F891)*500+(G905-F892)*500)</f>
        <v>10.879110004833453</v>
      </c>
      <c r="I905" s="62" t="s">
        <v>60</v>
      </c>
      <c r="J905" s="86">
        <v>6.0001204988124075E-7</v>
      </c>
      <c r="K905" s="86">
        <f>AC891+2*L882</f>
        <v>224.33333333333334</v>
      </c>
      <c r="L905" s="86">
        <f>J905*1.5*((K905-G905)*500/2+(K905-G905)*500)</f>
        <v>6.5476314943290398E-2</v>
      </c>
      <c r="M905" s="62" t="s">
        <v>59</v>
      </c>
      <c r="N905" s="86">
        <v>1.5543246512058661E-9</v>
      </c>
      <c r="O905" s="86">
        <f>AC892+3*L882</f>
        <v>299.33333333333337</v>
      </c>
      <c r="P905" s="86">
        <f>N905*1.5*((O905-K905)*500/2)</f>
        <v>4.3715380815165003E-5</v>
      </c>
    </row>
    <row r="906" spans="1:20" x14ac:dyDescent="0.25">
      <c r="A906" s="86"/>
      <c r="B906" s="86"/>
      <c r="C906" s="89" t="s">
        <v>89</v>
      </c>
      <c r="D906" s="89">
        <f>SUM(D904:D905)</f>
        <v>0</v>
      </c>
      <c r="E906" s="62" t="s">
        <v>52</v>
      </c>
      <c r="F906" s="86">
        <v>0.99983670933240487</v>
      </c>
      <c r="G906" s="86">
        <f>AC890+0*L882</f>
        <v>115.33333333333334</v>
      </c>
      <c r="H906" s="86">
        <f>F906*1.5*((G906-F890)*500/2+(G906-F891)*500+(G906-F892)*500)</f>
        <v>44117.79479929238</v>
      </c>
      <c r="I906" s="62" t="s">
        <v>56</v>
      </c>
      <c r="J906" s="86">
        <v>1.3558652905424625E-5</v>
      </c>
      <c r="K906" s="86">
        <f>AC891+1*L882</f>
        <v>212.33333333333334</v>
      </c>
      <c r="L906" s="86">
        <f>J906*1.5*((K906-G906)*500/2+(K906-G906)*500)</f>
        <v>1.4795879983044622</v>
      </c>
      <c r="M906" s="62" t="s">
        <v>60</v>
      </c>
      <c r="N906" s="86">
        <v>1.1352678684001316E-5</v>
      </c>
      <c r="O906" s="86">
        <f>AC892+2*L882</f>
        <v>287.33333333333337</v>
      </c>
      <c r="P906" s="86">
        <f>N906*1.5*((O906-K906)*500/2)</f>
        <v>0.31929408798753717</v>
      </c>
    </row>
    <row r="907" spans="1:20" x14ac:dyDescent="0.25">
      <c r="A907" s="86"/>
      <c r="B907" s="86"/>
      <c r="C907" s="86"/>
      <c r="D907" s="86"/>
      <c r="E907" s="86"/>
      <c r="F907" s="86"/>
      <c r="G907" s="89" t="s">
        <v>79</v>
      </c>
      <c r="H907" s="89">
        <f>SUM(H904:H906)</f>
        <v>44128.674084167738</v>
      </c>
      <c r="I907" s="62" t="s">
        <v>52</v>
      </c>
      <c r="J907" s="86">
        <v>0.99617473225021669</v>
      </c>
      <c r="K907" s="86">
        <f>AC891+0*L882</f>
        <v>200.33333333333334</v>
      </c>
      <c r="L907" s="86">
        <f>J907*1.5*((K907-G906)*500/2+(K907-G906)*500)</f>
        <v>95259.208771426973</v>
      </c>
      <c r="M907" s="62" t="s">
        <v>56</v>
      </c>
      <c r="N907" s="86">
        <v>6.6149973516765204E-3</v>
      </c>
      <c r="O907" s="86">
        <f>AC892+1*L882</f>
        <v>275.33333333333337</v>
      </c>
      <c r="P907" s="86">
        <f>N907*1.5*((O907-K907)*500/2)</f>
        <v>186.04680051590222</v>
      </c>
    </row>
    <row r="908" spans="1:20" x14ac:dyDescent="0.25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9" t="s">
        <v>79</v>
      </c>
      <c r="L908" s="89">
        <f>SUM(L904:L907)</f>
        <v>95260.753836524425</v>
      </c>
      <c r="M908" s="62" t="s">
        <v>52</v>
      </c>
      <c r="N908" s="86">
        <v>0.99337364827531538</v>
      </c>
      <c r="O908" s="86">
        <f>AC892+0*L882</f>
        <v>263.33333333333337</v>
      </c>
      <c r="P908" s="86">
        <f>N908*1.5*((O908-K907)*500/2)</f>
        <v>23468.452440504338</v>
      </c>
      <c r="Q908" s="179" t="s">
        <v>80</v>
      </c>
      <c r="R908" s="179"/>
      <c r="S908" s="180">
        <f>D906+H907+L908+P909</f>
        <v>163044.24649951633</v>
      </c>
      <c r="T908" s="180"/>
    </row>
    <row r="909" spans="1:20" x14ac:dyDescent="0.25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9" t="s">
        <v>79</v>
      </c>
      <c r="P909" s="89">
        <f>SUM(P904:P908)</f>
        <v>23654.818578824175</v>
      </c>
      <c r="Q909" s="179"/>
      <c r="R909" s="179"/>
      <c r="S909" s="180"/>
      <c r="T909" s="180"/>
    </row>
    <row r="910" spans="1:20" x14ac:dyDescent="0.25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</row>
    <row r="911" spans="1:20" x14ac:dyDescent="0.25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</row>
    <row r="912" spans="1:20" x14ac:dyDescent="0.25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</row>
    <row r="913" spans="15:18" ht="24" x14ac:dyDescent="0.25">
      <c r="O913" s="131" t="s">
        <v>81</v>
      </c>
      <c r="P913" s="131"/>
      <c r="Q913" s="131">
        <f>(R899+P899+M900+S908)/AC892</f>
        <v>1068.7209967511628</v>
      </c>
      <c r="R913" s="131"/>
    </row>
  </sheetData>
  <mergeCells count="792">
    <mergeCell ref="L900:L901"/>
    <mergeCell ref="M900:M901"/>
    <mergeCell ref="A902:N902"/>
    <mergeCell ref="Q908:R909"/>
    <mergeCell ref="S908:T909"/>
    <mergeCell ref="O913:P913"/>
    <mergeCell ref="Q913:R913"/>
    <mergeCell ref="AA887:AB887"/>
    <mergeCell ref="AC887:AC888"/>
    <mergeCell ref="AD887:AG887"/>
    <mergeCell ref="AH887:AH888"/>
    <mergeCell ref="A893:J893"/>
    <mergeCell ref="O894:P894"/>
    <mergeCell ref="Q894:R894"/>
    <mergeCell ref="A885:A887"/>
    <mergeCell ref="B885:E887"/>
    <mergeCell ref="G887:K887"/>
    <mergeCell ref="L887:P887"/>
    <mergeCell ref="Q887:U887"/>
    <mergeCell ref="V887:Z887"/>
    <mergeCell ref="O879:O880"/>
    <mergeCell ref="P879:P880"/>
    <mergeCell ref="Q879:Q880"/>
    <mergeCell ref="T879:T880"/>
    <mergeCell ref="G880:G883"/>
    <mergeCell ref="I880:I883"/>
    <mergeCell ref="K882:K883"/>
    <mergeCell ref="L882:L883"/>
    <mergeCell ref="M882:M883"/>
    <mergeCell ref="N882:N883"/>
    <mergeCell ref="O875:P875"/>
    <mergeCell ref="Q875:R875"/>
    <mergeCell ref="A876:B877"/>
    <mergeCell ref="A878:M878"/>
    <mergeCell ref="O878:V878"/>
    <mergeCell ref="A855:J855"/>
    <mergeCell ref="O856:P856"/>
    <mergeCell ref="Q856:R856"/>
    <mergeCell ref="L862:L863"/>
    <mergeCell ref="M862:M863"/>
    <mergeCell ref="A864:N864"/>
    <mergeCell ref="AA849:AB849"/>
    <mergeCell ref="AC849:AC850"/>
    <mergeCell ref="AD849:AG849"/>
    <mergeCell ref="AH849:AH850"/>
    <mergeCell ref="L844:L845"/>
    <mergeCell ref="M844:M845"/>
    <mergeCell ref="N844:N845"/>
    <mergeCell ref="Q870:R871"/>
    <mergeCell ref="S870:T871"/>
    <mergeCell ref="A847:A849"/>
    <mergeCell ref="B847:E849"/>
    <mergeCell ref="G849:K849"/>
    <mergeCell ref="L849:P849"/>
    <mergeCell ref="A838:B839"/>
    <mergeCell ref="A840:M840"/>
    <mergeCell ref="O840:V840"/>
    <mergeCell ref="O841:O842"/>
    <mergeCell ref="P841:P842"/>
    <mergeCell ref="Q841:Q842"/>
    <mergeCell ref="T841:T842"/>
    <mergeCell ref="G842:G845"/>
    <mergeCell ref="I842:I845"/>
    <mergeCell ref="K844:K845"/>
    <mergeCell ref="Q849:U849"/>
    <mergeCell ref="V849:Z849"/>
    <mergeCell ref="L824:L825"/>
    <mergeCell ref="M824:M825"/>
    <mergeCell ref="A826:N826"/>
    <mergeCell ref="Q832:R833"/>
    <mergeCell ref="S832:T833"/>
    <mergeCell ref="O837:P837"/>
    <mergeCell ref="Q837:R837"/>
    <mergeCell ref="AA811:AB811"/>
    <mergeCell ref="AC811:AC812"/>
    <mergeCell ref="AD811:AG811"/>
    <mergeCell ref="AH811:AH812"/>
    <mergeCell ref="A817:J817"/>
    <mergeCell ref="O818:P818"/>
    <mergeCell ref="Q818:R818"/>
    <mergeCell ref="A809:A811"/>
    <mergeCell ref="B809:E811"/>
    <mergeCell ref="G811:K811"/>
    <mergeCell ref="L811:P811"/>
    <mergeCell ref="Q811:U811"/>
    <mergeCell ref="V811:Z811"/>
    <mergeCell ref="O803:O804"/>
    <mergeCell ref="P803:P804"/>
    <mergeCell ref="Q803:Q804"/>
    <mergeCell ref="T803:T804"/>
    <mergeCell ref="G804:G807"/>
    <mergeCell ref="I804:I807"/>
    <mergeCell ref="K806:K807"/>
    <mergeCell ref="L806:L807"/>
    <mergeCell ref="M806:M807"/>
    <mergeCell ref="N806:N807"/>
    <mergeCell ref="O799:P799"/>
    <mergeCell ref="Q799:R799"/>
    <mergeCell ref="A800:B801"/>
    <mergeCell ref="A802:M802"/>
    <mergeCell ref="O802:V802"/>
    <mergeCell ref="A779:J779"/>
    <mergeCell ref="O780:P780"/>
    <mergeCell ref="Q780:R780"/>
    <mergeCell ref="L786:L787"/>
    <mergeCell ref="M786:M787"/>
    <mergeCell ref="A788:N788"/>
    <mergeCell ref="AA773:AB773"/>
    <mergeCell ref="AC773:AC774"/>
    <mergeCell ref="AD773:AG773"/>
    <mergeCell ref="AH773:AH774"/>
    <mergeCell ref="L768:L769"/>
    <mergeCell ref="M768:M769"/>
    <mergeCell ref="N768:N769"/>
    <mergeCell ref="Q794:R795"/>
    <mergeCell ref="S794:T795"/>
    <mergeCell ref="A771:A773"/>
    <mergeCell ref="B771:E773"/>
    <mergeCell ref="G773:K773"/>
    <mergeCell ref="L773:P773"/>
    <mergeCell ref="A762:B763"/>
    <mergeCell ref="A764:M764"/>
    <mergeCell ref="O764:V764"/>
    <mergeCell ref="O765:O766"/>
    <mergeCell ref="P765:P766"/>
    <mergeCell ref="Q765:Q766"/>
    <mergeCell ref="T765:T766"/>
    <mergeCell ref="G766:G769"/>
    <mergeCell ref="I766:I769"/>
    <mergeCell ref="K768:K769"/>
    <mergeCell ref="Q773:U773"/>
    <mergeCell ref="V773:Z773"/>
    <mergeCell ref="L748:L749"/>
    <mergeCell ref="M748:M749"/>
    <mergeCell ref="A750:N750"/>
    <mergeCell ref="Q756:R757"/>
    <mergeCell ref="S756:T757"/>
    <mergeCell ref="O761:P761"/>
    <mergeCell ref="Q761:R761"/>
    <mergeCell ref="AA735:AB735"/>
    <mergeCell ref="AC735:AC736"/>
    <mergeCell ref="AD735:AG735"/>
    <mergeCell ref="AH735:AH736"/>
    <mergeCell ref="A741:J741"/>
    <mergeCell ref="O742:P742"/>
    <mergeCell ref="Q742:R742"/>
    <mergeCell ref="A733:A735"/>
    <mergeCell ref="B733:E735"/>
    <mergeCell ref="G735:K735"/>
    <mergeCell ref="L735:P735"/>
    <mergeCell ref="Q735:U735"/>
    <mergeCell ref="V735:Z735"/>
    <mergeCell ref="O727:O728"/>
    <mergeCell ref="P727:P728"/>
    <mergeCell ref="Q727:Q728"/>
    <mergeCell ref="T727:T728"/>
    <mergeCell ref="G728:G731"/>
    <mergeCell ref="I728:I731"/>
    <mergeCell ref="K730:K731"/>
    <mergeCell ref="L730:L731"/>
    <mergeCell ref="M730:M731"/>
    <mergeCell ref="N730:N731"/>
    <mergeCell ref="O723:P723"/>
    <mergeCell ref="Q723:R723"/>
    <mergeCell ref="A724:B725"/>
    <mergeCell ref="A726:M726"/>
    <mergeCell ref="O726:V726"/>
    <mergeCell ref="A703:J703"/>
    <mergeCell ref="O704:P704"/>
    <mergeCell ref="Q704:R704"/>
    <mergeCell ref="L710:L711"/>
    <mergeCell ref="M710:M711"/>
    <mergeCell ref="A712:N712"/>
    <mergeCell ref="AA697:AB697"/>
    <mergeCell ref="AC697:AC698"/>
    <mergeCell ref="AD697:AG697"/>
    <mergeCell ref="AH697:AH698"/>
    <mergeCell ref="L692:L693"/>
    <mergeCell ref="M692:M693"/>
    <mergeCell ref="N692:N693"/>
    <mergeCell ref="Q718:R719"/>
    <mergeCell ref="S718:T719"/>
    <mergeCell ref="A695:A697"/>
    <mergeCell ref="B695:E697"/>
    <mergeCell ref="G697:K697"/>
    <mergeCell ref="L697:P697"/>
    <mergeCell ref="A686:B687"/>
    <mergeCell ref="A688:M688"/>
    <mergeCell ref="O688:V688"/>
    <mergeCell ref="O689:O690"/>
    <mergeCell ref="P689:P690"/>
    <mergeCell ref="Q689:Q690"/>
    <mergeCell ref="T689:T690"/>
    <mergeCell ref="G690:G693"/>
    <mergeCell ref="I690:I693"/>
    <mergeCell ref="K692:K693"/>
    <mergeCell ref="Q697:U697"/>
    <mergeCell ref="V697:Z697"/>
    <mergeCell ref="L672:L673"/>
    <mergeCell ref="M672:M673"/>
    <mergeCell ref="A674:N674"/>
    <mergeCell ref="Q680:R681"/>
    <mergeCell ref="S680:T681"/>
    <mergeCell ref="O685:P685"/>
    <mergeCell ref="Q685:R685"/>
    <mergeCell ref="AA659:AB659"/>
    <mergeCell ref="AC659:AC660"/>
    <mergeCell ref="AD659:AG659"/>
    <mergeCell ref="AH659:AH660"/>
    <mergeCell ref="A665:J665"/>
    <mergeCell ref="O666:P666"/>
    <mergeCell ref="Q666:R666"/>
    <mergeCell ref="A657:A659"/>
    <mergeCell ref="B657:E659"/>
    <mergeCell ref="G659:K659"/>
    <mergeCell ref="L659:P659"/>
    <mergeCell ref="Q659:U659"/>
    <mergeCell ref="V659:Z659"/>
    <mergeCell ref="O651:O652"/>
    <mergeCell ref="P651:P652"/>
    <mergeCell ref="Q651:Q652"/>
    <mergeCell ref="T651:T652"/>
    <mergeCell ref="G652:G655"/>
    <mergeCell ref="I652:I655"/>
    <mergeCell ref="K654:K655"/>
    <mergeCell ref="L654:L655"/>
    <mergeCell ref="M654:M655"/>
    <mergeCell ref="N654:N655"/>
    <mergeCell ref="O647:P647"/>
    <mergeCell ref="Q647:R647"/>
    <mergeCell ref="A648:B649"/>
    <mergeCell ref="A650:M650"/>
    <mergeCell ref="O650:V650"/>
    <mergeCell ref="A627:J627"/>
    <mergeCell ref="O628:P628"/>
    <mergeCell ref="Q628:R628"/>
    <mergeCell ref="L634:L635"/>
    <mergeCell ref="M634:M635"/>
    <mergeCell ref="A636:N636"/>
    <mergeCell ref="AA621:AB621"/>
    <mergeCell ref="AC621:AC622"/>
    <mergeCell ref="AD621:AG621"/>
    <mergeCell ref="AH621:AH622"/>
    <mergeCell ref="L616:L617"/>
    <mergeCell ref="M616:M617"/>
    <mergeCell ref="N616:N617"/>
    <mergeCell ref="Q642:R643"/>
    <mergeCell ref="S642:T643"/>
    <mergeCell ref="A619:A621"/>
    <mergeCell ref="B619:E621"/>
    <mergeCell ref="G621:K621"/>
    <mergeCell ref="L621:P621"/>
    <mergeCell ref="A610:B611"/>
    <mergeCell ref="A612:M612"/>
    <mergeCell ref="O612:V612"/>
    <mergeCell ref="O613:O614"/>
    <mergeCell ref="P613:P614"/>
    <mergeCell ref="Q613:Q614"/>
    <mergeCell ref="T613:T614"/>
    <mergeCell ref="G614:G617"/>
    <mergeCell ref="I614:I617"/>
    <mergeCell ref="K616:K617"/>
    <mergeCell ref="Q621:U621"/>
    <mergeCell ref="V621:Z621"/>
    <mergeCell ref="L596:L597"/>
    <mergeCell ref="M596:M597"/>
    <mergeCell ref="A598:N598"/>
    <mergeCell ref="Q604:R605"/>
    <mergeCell ref="S604:T605"/>
    <mergeCell ref="O609:P609"/>
    <mergeCell ref="Q609:R609"/>
    <mergeCell ref="AA583:AB583"/>
    <mergeCell ref="AC583:AC584"/>
    <mergeCell ref="AD583:AG583"/>
    <mergeCell ref="AH583:AH584"/>
    <mergeCell ref="A589:J589"/>
    <mergeCell ref="O590:P590"/>
    <mergeCell ref="Q590:R590"/>
    <mergeCell ref="A581:A583"/>
    <mergeCell ref="B581:E583"/>
    <mergeCell ref="G583:K583"/>
    <mergeCell ref="L583:P583"/>
    <mergeCell ref="Q583:U583"/>
    <mergeCell ref="V583:Z583"/>
    <mergeCell ref="O575:O576"/>
    <mergeCell ref="P575:P576"/>
    <mergeCell ref="Q575:Q576"/>
    <mergeCell ref="T575:T576"/>
    <mergeCell ref="G576:G579"/>
    <mergeCell ref="I576:I579"/>
    <mergeCell ref="K578:K579"/>
    <mergeCell ref="L578:L579"/>
    <mergeCell ref="M578:M579"/>
    <mergeCell ref="N578:N579"/>
    <mergeCell ref="O571:P571"/>
    <mergeCell ref="Q571:R571"/>
    <mergeCell ref="A572:B573"/>
    <mergeCell ref="A574:M574"/>
    <mergeCell ref="O574:V574"/>
    <mergeCell ref="A551:J551"/>
    <mergeCell ref="O552:P552"/>
    <mergeCell ref="Q552:R552"/>
    <mergeCell ref="L558:L559"/>
    <mergeCell ref="M558:M559"/>
    <mergeCell ref="A560:N560"/>
    <mergeCell ref="AA545:AB545"/>
    <mergeCell ref="AC545:AC546"/>
    <mergeCell ref="AD545:AG545"/>
    <mergeCell ref="AH545:AH546"/>
    <mergeCell ref="L540:L541"/>
    <mergeCell ref="M540:M541"/>
    <mergeCell ref="N540:N541"/>
    <mergeCell ref="Q566:R567"/>
    <mergeCell ref="S566:T567"/>
    <mergeCell ref="A543:A545"/>
    <mergeCell ref="B543:E545"/>
    <mergeCell ref="G545:K545"/>
    <mergeCell ref="L545:P545"/>
    <mergeCell ref="A534:B535"/>
    <mergeCell ref="A536:M536"/>
    <mergeCell ref="O536:V536"/>
    <mergeCell ref="O537:O538"/>
    <mergeCell ref="P537:P538"/>
    <mergeCell ref="Q537:Q538"/>
    <mergeCell ref="T537:T538"/>
    <mergeCell ref="G538:G541"/>
    <mergeCell ref="I538:I541"/>
    <mergeCell ref="K540:K541"/>
    <mergeCell ref="Q545:U545"/>
    <mergeCell ref="V545:Z545"/>
    <mergeCell ref="L520:L521"/>
    <mergeCell ref="M520:M521"/>
    <mergeCell ref="A522:N522"/>
    <mergeCell ref="Q528:R529"/>
    <mergeCell ref="S528:T529"/>
    <mergeCell ref="O533:P533"/>
    <mergeCell ref="Q533:R533"/>
    <mergeCell ref="AA507:AB507"/>
    <mergeCell ref="AC507:AC508"/>
    <mergeCell ref="AD507:AG507"/>
    <mergeCell ref="AH507:AH508"/>
    <mergeCell ref="A513:J513"/>
    <mergeCell ref="O514:P514"/>
    <mergeCell ref="Q514:R514"/>
    <mergeCell ref="A505:A507"/>
    <mergeCell ref="B505:E507"/>
    <mergeCell ref="G507:K507"/>
    <mergeCell ref="L507:P507"/>
    <mergeCell ref="Q507:U507"/>
    <mergeCell ref="V507:Z507"/>
    <mergeCell ref="O499:O500"/>
    <mergeCell ref="P499:P500"/>
    <mergeCell ref="Q499:Q500"/>
    <mergeCell ref="T499:T500"/>
    <mergeCell ref="G500:G503"/>
    <mergeCell ref="I500:I503"/>
    <mergeCell ref="K502:K503"/>
    <mergeCell ref="L502:L503"/>
    <mergeCell ref="M502:M503"/>
    <mergeCell ref="N502:N503"/>
    <mergeCell ref="O495:P495"/>
    <mergeCell ref="Q495:R495"/>
    <mergeCell ref="A496:B497"/>
    <mergeCell ref="A498:M498"/>
    <mergeCell ref="O498:V498"/>
    <mergeCell ref="A475:J475"/>
    <mergeCell ref="O476:P476"/>
    <mergeCell ref="Q476:R476"/>
    <mergeCell ref="L482:L483"/>
    <mergeCell ref="M482:M483"/>
    <mergeCell ref="A484:N484"/>
    <mergeCell ref="AA469:AB469"/>
    <mergeCell ref="AC469:AC470"/>
    <mergeCell ref="AD469:AG469"/>
    <mergeCell ref="AH469:AH470"/>
    <mergeCell ref="L464:L465"/>
    <mergeCell ref="M464:M465"/>
    <mergeCell ref="N464:N465"/>
    <mergeCell ref="Q490:R491"/>
    <mergeCell ref="S490:T491"/>
    <mergeCell ref="A467:A469"/>
    <mergeCell ref="B467:E469"/>
    <mergeCell ref="G469:K469"/>
    <mergeCell ref="L469:P469"/>
    <mergeCell ref="A458:B459"/>
    <mergeCell ref="A460:M460"/>
    <mergeCell ref="O460:V460"/>
    <mergeCell ref="O461:O462"/>
    <mergeCell ref="P461:P462"/>
    <mergeCell ref="Q461:Q462"/>
    <mergeCell ref="T461:T462"/>
    <mergeCell ref="G462:G465"/>
    <mergeCell ref="I462:I465"/>
    <mergeCell ref="K464:K465"/>
    <mergeCell ref="Q469:U469"/>
    <mergeCell ref="V469:Z469"/>
    <mergeCell ref="L444:L445"/>
    <mergeCell ref="M444:M445"/>
    <mergeCell ref="A446:N446"/>
    <mergeCell ref="Q452:R453"/>
    <mergeCell ref="S452:T453"/>
    <mergeCell ref="O457:P457"/>
    <mergeCell ref="Q457:R457"/>
    <mergeCell ref="AA431:AB431"/>
    <mergeCell ref="AC431:AC432"/>
    <mergeCell ref="AD431:AG431"/>
    <mergeCell ref="AH431:AH432"/>
    <mergeCell ref="A437:J437"/>
    <mergeCell ref="O438:P438"/>
    <mergeCell ref="Q438:R438"/>
    <mergeCell ref="A429:A431"/>
    <mergeCell ref="B429:E431"/>
    <mergeCell ref="G431:K431"/>
    <mergeCell ref="L431:P431"/>
    <mergeCell ref="Q431:U431"/>
    <mergeCell ref="V431:Z431"/>
    <mergeCell ref="O423:O424"/>
    <mergeCell ref="P423:P424"/>
    <mergeCell ref="Q423:Q424"/>
    <mergeCell ref="T423:T424"/>
    <mergeCell ref="G424:G427"/>
    <mergeCell ref="I424:I427"/>
    <mergeCell ref="K426:K427"/>
    <mergeCell ref="L426:L427"/>
    <mergeCell ref="M426:M427"/>
    <mergeCell ref="N426:N427"/>
    <mergeCell ref="O419:P419"/>
    <mergeCell ref="Q419:R419"/>
    <mergeCell ref="A420:B421"/>
    <mergeCell ref="A422:M422"/>
    <mergeCell ref="O422:V422"/>
    <mergeCell ref="A399:J399"/>
    <mergeCell ref="O400:P400"/>
    <mergeCell ref="Q400:R400"/>
    <mergeCell ref="L406:L407"/>
    <mergeCell ref="M406:M407"/>
    <mergeCell ref="A408:N408"/>
    <mergeCell ref="AA393:AB393"/>
    <mergeCell ref="AC393:AC394"/>
    <mergeCell ref="AD393:AG393"/>
    <mergeCell ref="AH393:AH394"/>
    <mergeCell ref="L388:L389"/>
    <mergeCell ref="M388:M389"/>
    <mergeCell ref="N388:N389"/>
    <mergeCell ref="Q414:R415"/>
    <mergeCell ref="S414:T415"/>
    <mergeCell ref="A391:A393"/>
    <mergeCell ref="B391:E393"/>
    <mergeCell ref="G393:K393"/>
    <mergeCell ref="L393:P393"/>
    <mergeCell ref="A382:B383"/>
    <mergeCell ref="A384:M384"/>
    <mergeCell ref="O384:V384"/>
    <mergeCell ref="O385:O386"/>
    <mergeCell ref="P385:P386"/>
    <mergeCell ref="Q385:Q386"/>
    <mergeCell ref="T385:T386"/>
    <mergeCell ref="G386:G389"/>
    <mergeCell ref="I386:I389"/>
    <mergeCell ref="K388:K389"/>
    <mergeCell ref="Q393:U393"/>
    <mergeCell ref="V393:Z393"/>
    <mergeCell ref="L368:L369"/>
    <mergeCell ref="M368:M369"/>
    <mergeCell ref="A370:N370"/>
    <mergeCell ref="Q376:R377"/>
    <mergeCell ref="S376:T377"/>
    <mergeCell ref="O381:P381"/>
    <mergeCell ref="Q381:R381"/>
    <mergeCell ref="AA355:AB355"/>
    <mergeCell ref="AC355:AC356"/>
    <mergeCell ref="AD355:AG355"/>
    <mergeCell ref="AH355:AH356"/>
    <mergeCell ref="A361:J361"/>
    <mergeCell ref="O362:P362"/>
    <mergeCell ref="Q362:R362"/>
    <mergeCell ref="A353:A355"/>
    <mergeCell ref="B353:E355"/>
    <mergeCell ref="G355:K355"/>
    <mergeCell ref="L355:P355"/>
    <mergeCell ref="Q355:U355"/>
    <mergeCell ref="V355:Z355"/>
    <mergeCell ref="O347:O348"/>
    <mergeCell ref="P347:P348"/>
    <mergeCell ref="Q347:Q348"/>
    <mergeCell ref="T347:T348"/>
    <mergeCell ref="G348:G351"/>
    <mergeCell ref="I348:I351"/>
    <mergeCell ref="K350:K351"/>
    <mergeCell ref="L350:L351"/>
    <mergeCell ref="M350:M351"/>
    <mergeCell ref="N350:N351"/>
    <mergeCell ref="O343:P343"/>
    <mergeCell ref="Q343:R343"/>
    <mergeCell ref="A344:B345"/>
    <mergeCell ref="A346:M346"/>
    <mergeCell ref="O346:V346"/>
    <mergeCell ref="A323:J323"/>
    <mergeCell ref="O324:P324"/>
    <mergeCell ref="Q324:R324"/>
    <mergeCell ref="L330:L331"/>
    <mergeCell ref="M330:M331"/>
    <mergeCell ref="A332:N332"/>
    <mergeCell ref="AA317:AB317"/>
    <mergeCell ref="AC317:AC318"/>
    <mergeCell ref="AD317:AG317"/>
    <mergeCell ref="AH317:AH318"/>
    <mergeCell ref="L312:L313"/>
    <mergeCell ref="M312:M313"/>
    <mergeCell ref="N312:N313"/>
    <mergeCell ref="Q338:R339"/>
    <mergeCell ref="S338:T339"/>
    <mergeCell ref="A315:A317"/>
    <mergeCell ref="B315:E317"/>
    <mergeCell ref="G317:K317"/>
    <mergeCell ref="L317:P317"/>
    <mergeCell ref="A306:B307"/>
    <mergeCell ref="A308:M308"/>
    <mergeCell ref="O308:V308"/>
    <mergeCell ref="O309:O310"/>
    <mergeCell ref="P309:P310"/>
    <mergeCell ref="Q309:Q310"/>
    <mergeCell ref="T309:T310"/>
    <mergeCell ref="G310:G313"/>
    <mergeCell ref="I310:I313"/>
    <mergeCell ref="K312:K313"/>
    <mergeCell ref="Q317:U317"/>
    <mergeCell ref="V317:Z317"/>
    <mergeCell ref="L292:L293"/>
    <mergeCell ref="M292:M293"/>
    <mergeCell ref="A294:N294"/>
    <mergeCell ref="Q300:R301"/>
    <mergeCell ref="S300:T301"/>
    <mergeCell ref="O305:P305"/>
    <mergeCell ref="Q305:R305"/>
    <mergeCell ref="AA279:AB279"/>
    <mergeCell ref="AC279:AC280"/>
    <mergeCell ref="AD279:AG279"/>
    <mergeCell ref="AH279:AH280"/>
    <mergeCell ref="A285:J285"/>
    <mergeCell ref="O286:P286"/>
    <mergeCell ref="Q286:R286"/>
    <mergeCell ref="A277:A279"/>
    <mergeCell ref="B277:E279"/>
    <mergeCell ref="G279:K279"/>
    <mergeCell ref="L279:P279"/>
    <mergeCell ref="Q279:U279"/>
    <mergeCell ref="V279:Z279"/>
    <mergeCell ref="O271:O272"/>
    <mergeCell ref="P271:P272"/>
    <mergeCell ref="Q271:Q272"/>
    <mergeCell ref="T271:T272"/>
    <mergeCell ref="G272:G275"/>
    <mergeCell ref="I272:I275"/>
    <mergeCell ref="K274:K275"/>
    <mergeCell ref="L274:L275"/>
    <mergeCell ref="M274:M275"/>
    <mergeCell ref="N274:N275"/>
    <mergeCell ref="O266:P266"/>
    <mergeCell ref="Q266:R266"/>
    <mergeCell ref="A268:B269"/>
    <mergeCell ref="A270:M270"/>
    <mergeCell ref="O270:V270"/>
    <mergeCell ref="A246:J246"/>
    <mergeCell ref="O247:P247"/>
    <mergeCell ref="Q247:R247"/>
    <mergeCell ref="L253:L254"/>
    <mergeCell ref="M253:M254"/>
    <mergeCell ref="A255:N255"/>
    <mergeCell ref="AA240:AB240"/>
    <mergeCell ref="AC240:AC241"/>
    <mergeCell ref="AD240:AG240"/>
    <mergeCell ref="AH240:AH241"/>
    <mergeCell ref="L235:L236"/>
    <mergeCell ref="M235:M236"/>
    <mergeCell ref="N235:N236"/>
    <mergeCell ref="Q261:R262"/>
    <mergeCell ref="S261:T262"/>
    <mergeCell ref="A238:A240"/>
    <mergeCell ref="B238:E240"/>
    <mergeCell ref="G240:K240"/>
    <mergeCell ref="L240:P240"/>
    <mergeCell ref="A229:B230"/>
    <mergeCell ref="A231:M231"/>
    <mergeCell ref="O231:V231"/>
    <mergeCell ref="O232:O233"/>
    <mergeCell ref="P232:P233"/>
    <mergeCell ref="Q232:Q233"/>
    <mergeCell ref="T232:T233"/>
    <mergeCell ref="G233:G236"/>
    <mergeCell ref="I233:I236"/>
    <mergeCell ref="K235:K236"/>
    <mergeCell ref="Q240:U240"/>
    <mergeCell ref="V240:Z240"/>
    <mergeCell ref="L215:L216"/>
    <mergeCell ref="M215:M216"/>
    <mergeCell ref="A217:N217"/>
    <mergeCell ref="Q223:R224"/>
    <mergeCell ref="S223:T224"/>
    <mergeCell ref="O228:P228"/>
    <mergeCell ref="Q228:R228"/>
    <mergeCell ref="AA202:AB202"/>
    <mergeCell ref="AC202:AC203"/>
    <mergeCell ref="AD202:AG202"/>
    <mergeCell ref="AH202:AH203"/>
    <mergeCell ref="A208:J208"/>
    <mergeCell ref="O209:P209"/>
    <mergeCell ref="Q209:R209"/>
    <mergeCell ref="A200:A202"/>
    <mergeCell ref="B200:E202"/>
    <mergeCell ref="G202:K202"/>
    <mergeCell ref="L202:P202"/>
    <mergeCell ref="Q202:U202"/>
    <mergeCell ref="V202:Z202"/>
    <mergeCell ref="O194:O195"/>
    <mergeCell ref="P194:P195"/>
    <mergeCell ref="Q194:Q195"/>
    <mergeCell ref="T194:T195"/>
    <mergeCell ref="G195:G198"/>
    <mergeCell ref="I195:I198"/>
    <mergeCell ref="K197:K198"/>
    <mergeCell ref="L197:L198"/>
    <mergeCell ref="M197:M198"/>
    <mergeCell ref="N197:N198"/>
    <mergeCell ref="O190:P190"/>
    <mergeCell ref="Q190:R190"/>
    <mergeCell ref="A191:B192"/>
    <mergeCell ref="A193:M193"/>
    <mergeCell ref="O193:V193"/>
    <mergeCell ref="A170:J170"/>
    <mergeCell ref="O171:P171"/>
    <mergeCell ref="Q171:R171"/>
    <mergeCell ref="L177:L178"/>
    <mergeCell ref="M177:M178"/>
    <mergeCell ref="A179:N179"/>
    <mergeCell ref="AA164:AB164"/>
    <mergeCell ref="AC164:AC165"/>
    <mergeCell ref="AD164:AG164"/>
    <mergeCell ref="AH164:AH165"/>
    <mergeCell ref="L159:L160"/>
    <mergeCell ref="M159:M160"/>
    <mergeCell ref="N159:N160"/>
    <mergeCell ref="Q185:R186"/>
    <mergeCell ref="S185:T186"/>
    <mergeCell ref="A162:A164"/>
    <mergeCell ref="B162:E164"/>
    <mergeCell ref="G164:K164"/>
    <mergeCell ref="L164:P164"/>
    <mergeCell ref="A153:B154"/>
    <mergeCell ref="A155:M155"/>
    <mergeCell ref="O155:V155"/>
    <mergeCell ref="O156:O157"/>
    <mergeCell ref="P156:P157"/>
    <mergeCell ref="Q156:Q157"/>
    <mergeCell ref="T156:T157"/>
    <mergeCell ref="G157:G160"/>
    <mergeCell ref="I157:I160"/>
    <mergeCell ref="K159:K160"/>
    <mergeCell ref="Q164:U164"/>
    <mergeCell ref="V164:Z164"/>
    <mergeCell ref="L139:L140"/>
    <mergeCell ref="M139:M140"/>
    <mergeCell ref="A141:N141"/>
    <mergeCell ref="Q147:R148"/>
    <mergeCell ref="S147:T148"/>
    <mergeCell ref="O152:P152"/>
    <mergeCell ref="Q152:R152"/>
    <mergeCell ref="AA126:AB126"/>
    <mergeCell ref="AC126:AC127"/>
    <mergeCell ref="AD126:AG126"/>
    <mergeCell ref="AH126:AH127"/>
    <mergeCell ref="A132:J132"/>
    <mergeCell ref="O133:P133"/>
    <mergeCell ref="Q133:R133"/>
    <mergeCell ref="A124:A126"/>
    <mergeCell ref="B124:E126"/>
    <mergeCell ref="G126:K126"/>
    <mergeCell ref="L126:P126"/>
    <mergeCell ref="Q126:U126"/>
    <mergeCell ref="V126:Z126"/>
    <mergeCell ref="O118:O119"/>
    <mergeCell ref="P118:P119"/>
    <mergeCell ref="Q118:Q119"/>
    <mergeCell ref="T118:T119"/>
    <mergeCell ref="G119:G122"/>
    <mergeCell ref="I119:I122"/>
    <mergeCell ref="K121:K122"/>
    <mergeCell ref="L121:L122"/>
    <mergeCell ref="M121:M122"/>
    <mergeCell ref="N121:N122"/>
    <mergeCell ref="O114:P114"/>
    <mergeCell ref="Q114:R114"/>
    <mergeCell ref="A115:B116"/>
    <mergeCell ref="A117:M117"/>
    <mergeCell ref="O117:V117"/>
    <mergeCell ref="A94:J94"/>
    <mergeCell ref="O95:P95"/>
    <mergeCell ref="Q95:R95"/>
    <mergeCell ref="L101:L102"/>
    <mergeCell ref="M101:M102"/>
    <mergeCell ref="A103:N103"/>
    <mergeCell ref="AA88:AB88"/>
    <mergeCell ref="AC88:AC89"/>
    <mergeCell ref="AD88:AG88"/>
    <mergeCell ref="AH88:AH89"/>
    <mergeCell ref="L83:L84"/>
    <mergeCell ref="M83:M84"/>
    <mergeCell ref="N83:N84"/>
    <mergeCell ref="Q109:R110"/>
    <mergeCell ref="S109:T110"/>
    <mergeCell ref="A86:A88"/>
    <mergeCell ref="B86:E88"/>
    <mergeCell ref="G88:K88"/>
    <mergeCell ref="L88:P88"/>
    <mergeCell ref="A77:B78"/>
    <mergeCell ref="A79:M79"/>
    <mergeCell ref="O79:V79"/>
    <mergeCell ref="O80:O81"/>
    <mergeCell ref="P80:P81"/>
    <mergeCell ref="Q80:Q81"/>
    <mergeCell ref="T80:T81"/>
    <mergeCell ref="G81:G84"/>
    <mergeCell ref="I81:I84"/>
    <mergeCell ref="K83:K84"/>
    <mergeCell ref="Q88:U88"/>
    <mergeCell ref="V88:Z88"/>
    <mergeCell ref="L63:L64"/>
    <mergeCell ref="M63:M64"/>
    <mergeCell ref="A65:N65"/>
    <mergeCell ref="Q71:R72"/>
    <mergeCell ref="S71:T72"/>
    <mergeCell ref="O76:P76"/>
    <mergeCell ref="Q76:R76"/>
    <mergeCell ref="AA50:AB50"/>
    <mergeCell ref="AC50:AC51"/>
    <mergeCell ref="AD50:AG50"/>
    <mergeCell ref="AH50:AH51"/>
    <mergeCell ref="A56:J56"/>
    <mergeCell ref="O57:P57"/>
    <mergeCell ref="Q57:R57"/>
    <mergeCell ref="A48:A50"/>
    <mergeCell ref="B48:E50"/>
    <mergeCell ref="G50:K50"/>
    <mergeCell ref="L50:P50"/>
    <mergeCell ref="Q50:U50"/>
    <mergeCell ref="V50:Z50"/>
    <mergeCell ref="O42:O43"/>
    <mergeCell ref="P42:P43"/>
    <mergeCell ref="Q42:Q43"/>
    <mergeCell ref="T42:T43"/>
    <mergeCell ref="G43:G46"/>
    <mergeCell ref="I43:I46"/>
    <mergeCell ref="K45:K46"/>
    <mergeCell ref="L45:L46"/>
    <mergeCell ref="M45:M46"/>
    <mergeCell ref="N45:N46"/>
    <mergeCell ref="O38:P38"/>
    <mergeCell ref="Q38:R38"/>
    <mergeCell ref="A39:B40"/>
    <mergeCell ref="A41:M41"/>
    <mergeCell ref="O41:V41"/>
    <mergeCell ref="A18:J18"/>
    <mergeCell ref="O19:P19"/>
    <mergeCell ref="Q19:R19"/>
    <mergeCell ref="L25:L26"/>
    <mergeCell ref="M25:M26"/>
    <mergeCell ref="A27:N27"/>
    <mergeCell ref="AA12:AB12"/>
    <mergeCell ref="AC12:AC13"/>
    <mergeCell ref="AD12:AG12"/>
    <mergeCell ref="AH12:AH13"/>
    <mergeCell ref="L7:L8"/>
    <mergeCell ref="M7:M8"/>
    <mergeCell ref="N7:N8"/>
    <mergeCell ref="Q33:R34"/>
    <mergeCell ref="S33:T34"/>
    <mergeCell ref="A10:A12"/>
    <mergeCell ref="B10:E12"/>
    <mergeCell ref="G12:K12"/>
    <mergeCell ref="L12:P12"/>
    <mergeCell ref="A1:B2"/>
    <mergeCell ref="A3:M3"/>
    <mergeCell ref="O3:V3"/>
    <mergeCell ref="O4:O5"/>
    <mergeCell ref="P4:P5"/>
    <mergeCell ref="Q4:Q5"/>
    <mergeCell ref="T4:T5"/>
    <mergeCell ref="G5:G8"/>
    <mergeCell ref="I5:I8"/>
    <mergeCell ref="K7:K8"/>
    <mergeCell ref="Q12:U12"/>
    <mergeCell ref="V12:Z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Y24" sqref="Y24"/>
    </sheetView>
  </sheetViews>
  <sheetFormatPr defaultRowHeight="15" x14ac:dyDescent="0.25"/>
  <cols>
    <col min="1" max="1" width="18.42578125" customWidth="1"/>
    <col min="2" max="2" width="10" customWidth="1"/>
    <col min="3" max="3" width="9.5703125" customWidth="1"/>
    <col min="4" max="4" width="10.42578125" customWidth="1"/>
    <col min="5" max="5" width="11" customWidth="1"/>
  </cols>
  <sheetData>
    <row r="1" spans="1:22" ht="21" x14ac:dyDescent="0.35">
      <c r="A1" s="186" t="s">
        <v>7</v>
      </c>
      <c r="B1" s="186"/>
      <c r="C1" s="186"/>
      <c r="D1" s="186"/>
      <c r="E1" s="186"/>
      <c r="G1" s="188" t="s">
        <v>98</v>
      </c>
      <c r="H1" s="188"/>
      <c r="I1" s="188"/>
      <c r="J1" s="188"/>
      <c r="K1" s="188"/>
      <c r="L1" s="187" t="s">
        <v>8</v>
      </c>
      <c r="M1" s="187"/>
      <c r="N1" s="187"/>
      <c r="O1" s="187"/>
      <c r="P1" s="187"/>
      <c r="Q1" s="187"/>
      <c r="R1" s="187"/>
      <c r="S1" s="187"/>
    </row>
    <row r="2" spans="1:22" ht="48.75" thickBot="1" x14ac:dyDescent="0.3">
      <c r="A2" s="186"/>
      <c r="B2" s="186"/>
      <c r="C2" s="186"/>
      <c r="D2" s="186"/>
      <c r="E2" s="186"/>
      <c r="H2" s="101" t="s">
        <v>3</v>
      </c>
      <c r="I2" s="101" t="s">
        <v>4</v>
      </c>
      <c r="J2" s="101" t="s">
        <v>5</v>
      </c>
      <c r="K2" s="101" t="s">
        <v>6</v>
      </c>
      <c r="L2" s="106" t="s">
        <v>9</v>
      </c>
      <c r="M2" s="167" t="s">
        <v>10</v>
      </c>
      <c r="N2" s="167"/>
      <c r="O2" s="167"/>
      <c r="P2" s="167"/>
      <c r="Q2" s="98" t="s">
        <v>11</v>
      </c>
      <c r="R2" s="98" t="s">
        <v>12</v>
      </c>
      <c r="S2" s="98" t="s">
        <v>13</v>
      </c>
    </row>
    <row r="3" spans="1:22" ht="30" x14ac:dyDescent="0.25">
      <c r="A3" s="2"/>
      <c r="B3" s="110" t="s">
        <v>3</v>
      </c>
      <c r="C3" s="110" t="s">
        <v>4</v>
      </c>
      <c r="D3" s="110" t="s">
        <v>5</v>
      </c>
      <c r="E3" s="110" t="s">
        <v>6</v>
      </c>
      <c r="G3" s="2" t="s">
        <v>99</v>
      </c>
      <c r="H3" s="95">
        <v>794.32</v>
      </c>
      <c r="I3" s="95">
        <v>474.86</v>
      </c>
      <c r="J3" s="95">
        <v>502.34</v>
      </c>
      <c r="K3" s="95">
        <v>458.91</v>
      </c>
      <c r="L3" s="107" t="s">
        <v>93</v>
      </c>
      <c r="M3" s="107">
        <v>45.67</v>
      </c>
      <c r="N3" s="107">
        <v>100.67</v>
      </c>
      <c r="O3" s="107">
        <v>177.67</v>
      </c>
      <c r="P3" s="108">
        <v>247.33</v>
      </c>
      <c r="Q3" s="107">
        <v>108120</v>
      </c>
      <c r="R3" s="107">
        <v>13190</v>
      </c>
      <c r="S3" s="107">
        <f t="shared" ref="S3" si="0">(Q3+R3)/P3</f>
        <v>490.47830833299639</v>
      </c>
      <c r="T3" s="105" t="s">
        <v>97</v>
      </c>
      <c r="U3" s="92"/>
    </row>
    <row r="4" spans="1:22" ht="15.75" x14ac:dyDescent="0.25">
      <c r="A4" s="3" t="s">
        <v>1</v>
      </c>
      <c r="B4" s="93">
        <f>H3+S3</f>
        <v>1284.7983083329964</v>
      </c>
      <c r="C4" s="93">
        <f>I3+S3</f>
        <v>965.33830833299635</v>
      </c>
      <c r="D4" s="93">
        <f>J3+S3</f>
        <v>992.81830833299637</v>
      </c>
      <c r="E4" s="93">
        <f>K3+S3</f>
        <v>949.38830833299642</v>
      </c>
      <c r="L4" s="102"/>
      <c r="M4" s="103"/>
      <c r="N4" s="103"/>
      <c r="O4" s="103"/>
      <c r="P4" s="103"/>
      <c r="Q4" s="103"/>
      <c r="R4" s="103"/>
      <c r="S4" s="103"/>
      <c r="T4" s="103"/>
    </row>
    <row r="5" spans="1:22" ht="15.75" x14ac:dyDescent="0.25">
      <c r="A5" s="3" t="s">
        <v>0</v>
      </c>
      <c r="B5" s="3">
        <v>1036.2897788555442</v>
      </c>
      <c r="C5" s="3">
        <v>956.28</v>
      </c>
      <c r="D5" s="3">
        <v>921.32</v>
      </c>
      <c r="E5" s="3">
        <v>944.58</v>
      </c>
      <c r="L5" s="102"/>
      <c r="M5" s="103"/>
      <c r="N5" s="104"/>
      <c r="O5" s="103"/>
      <c r="P5" s="103"/>
      <c r="Q5" s="104"/>
      <c r="R5" s="104"/>
      <c r="S5" s="104"/>
      <c r="T5" s="103"/>
      <c r="U5" t="s">
        <v>138</v>
      </c>
      <c r="V5">
        <f>Q3/P3</f>
        <v>437.14874863542633</v>
      </c>
    </row>
    <row r="6" spans="1:22" ht="15.75" x14ac:dyDescent="0.25">
      <c r="A6" s="3" t="s">
        <v>2</v>
      </c>
      <c r="B6" s="3">
        <v>998.32</v>
      </c>
      <c r="C6" s="3">
        <v>955.58</v>
      </c>
      <c r="D6" s="3">
        <v>872.33</v>
      </c>
      <c r="E6" s="3">
        <v>848.44</v>
      </c>
      <c r="L6" s="102"/>
      <c r="M6" s="104"/>
      <c r="N6" s="103"/>
      <c r="O6" s="103"/>
      <c r="P6" s="103"/>
      <c r="Q6" s="103"/>
      <c r="R6" s="103"/>
      <c r="S6" s="103"/>
      <c r="T6" s="103"/>
      <c r="U6" t="s">
        <v>139</v>
      </c>
      <c r="V6">
        <f>R3/P3</f>
        <v>53.329559697570048</v>
      </c>
    </row>
    <row r="7" spans="1:22" ht="15.75" x14ac:dyDescent="0.25">
      <c r="L7" s="102"/>
      <c r="M7" s="103"/>
      <c r="N7" s="103"/>
      <c r="O7" s="103"/>
      <c r="P7" s="103"/>
      <c r="Q7" s="103"/>
      <c r="R7" s="103"/>
      <c r="S7" s="103"/>
      <c r="T7" s="103"/>
    </row>
    <row r="8" spans="1:22" ht="15.75" x14ac:dyDescent="0.25">
      <c r="L8" s="102"/>
      <c r="M8" s="103"/>
      <c r="N8" s="103"/>
      <c r="O8" s="103"/>
      <c r="P8" s="103"/>
      <c r="Q8" s="103"/>
      <c r="R8" s="103"/>
      <c r="S8" s="103"/>
      <c r="T8" s="103"/>
    </row>
    <row r="10" spans="1:22" x14ac:dyDescent="0.25">
      <c r="A10" t="s">
        <v>130</v>
      </c>
      <c r="C10" t="s">
        <v>131</v>
      </c>
      <c r="D10" t="s">
        <v>132</v>
      </c>
    </row>
    <row r="11" spans="1:22" x14ac:dyDescent="0.25">
      <c r="A11" t="s">
        <v>133</v>
      </c>
      <c r="C11">
        <v>427.06</v>
      </c>
      <c r="D11">
        <v>185</v>
      </c>
      <c r="E11">
        <v>413</v>
      </c>
    </row>
    <row r="12" spans="1:22" x14ac:dyDescent="0.25">
      <c r="A12" t="s">
        <v>135</v>
      </c>
      <c r="C12">
        <v>396.58</v>
      </c>
      <c r="D12">
        <v>205.28</v>
      </c>
    </row>
    <row r="13" spans="1:22" x14ac:dyDescent="0.25">
      <c r="A13" t="s">
        <v>137</v>
      </c>
      <c r="C13">
        <v>437.14</v>
      </c>
      <c r="D13">
        <v>466.58</v>
      </c>
    </row>
    <row r="14" spans="1:22" x14ac:dyDescent="0.25">
      <c r="A14" t="s">
        <v>140</v>
      </c>
      <c r="C14">
        <v>53.33</v>
      </c>
      <c r="D14">
        <v>59.55</v>
      </c>
    </row>
    <row r="15" spans="1:22" x14ac:dyDescent="0.25">
      <c r="B15" t="s">
        <v>89</v>
      </c>
      <c r="C15">
        <f>SUM(C11:C14)</f>
        <v>1314.11</v>
      </c>
      <c r="D15">
        <f>SUM(D11:D14)</f>
        <v>916.40999999999985</v>
      </c>
    </row>
    <row r="20" spans="1:20" x14ac:dyDescent="0.25">
      <c r="D20">
        <f>(B4-B5)/B5</f>
        <v>0.23980602197186537</v>
      </c>
      <c r="E20">
        <f>(C5-C4)/C4</f>
        <v>-9.3835583388779016E-3</v>
      </c>
      <c r="F20">
        <f t="shared" ref="F20:G20" si="1">(D5-D4)/D4</f>
        <v>-7.2015501459724712E-2</v>
      </c>
      <c r="G20">
        <f t="shared" si="1"/>
        <v>-5.0646382421110133E-3</v>
      </c>
    </row>
    <row r="21" spans="1:20" x14ac:dyDescent="0.25">
      <c r="T21" s="109"/>
    </row>
    <row r="24" spans="1:20" ht="30" x14ac:dyDescent="0.25">
      <c r="A24" s="2"/>
      <c r="B24" s="110" t="s">
        <v>3</v>
      </c>
      <c r="C24" s="110" t="s">
        <v>4</v>
      </c>
      <c r="D24" s="110" t="s">
        <v>5</v>
      </c>
      <c r="E24" s="110" t="s">
        <v>6</v>
      </c>
    </row>
    <row r="25" spans="1:20" x14ac:dyDescent="0.25">
      <c r="A25" s="3" t="s">
        <v>1</v>
      </c>
      <c r="B25" s="127">
        <f>(B4-$E$6)/$E$6</f>
        <v>0.51430661959949586</v>
      </c>
      <c r="C25" s="127">
        <f t="shared" ref="C25:E25" si="2">(C4-$E$6)/$E$6</f>
        <v>0.13778028892201721</v>
      </c>
      <c r="D25" s="127">
        <f t="shared" si="2"/>
        <v>0.17016914376148731</v>
      </c>
      <c r="E25" s="127">
        <f t="shared" si="2"/>
        <v>0.11898108096388237</v>
      </c>
    </row>
    <row r="26" spans="1:20" x14ac:dyDescent="0.25">
      <c r="A26" s="3" t="s">
        <v>0</v>
      </c>
      <c r="B26" s="127">
        <f t="shared" ref="B26:E26" si="3">(B5-$E$6)/$E$6</f>
        <v>0.22140608511567603</v>
      </c>
      <c r="C26" s="127">
        <f t="shared" si="3"/>
        <v>0.12710386120409212</v>
      </c>
      <c r="D26" s="127">
        <f t="shared" si="3"/>
        <v>8.5898826080807122E-2</v>
      </c>
      <c r="E26" s="127">
        <f t="shared" si="3"/>
        <v>0.11331384658903397</v>
      </c>
    </row>
    <row r="27" spans="1:20" x14ac:dyDescent="0.25">
      <c r="A27" s="3" t="s">
        <v>2</v>
      </c>
      <c r="B27" s="127">
        <f t="shared" ref="B27:E27" si="4">(B6-$E$6)/$E$6</f>
        <v>0.17665362312007918</v>
      </c>
      <c r="C27" s="127">
        <f t="shared" si="4"/>
        <v>0.12627881759464427</v>
      </c>
      <c r="D27" s="127">
        <f t="shared" si="4"/>
        <v>2.8157559756729979E-2</v>
      </c>
      <c r="E27" s="127">
        <f t="shared" si="4"/>
        <v>0</v>
      </c>
    </row>
  </sheetData>
  <mergeCells count="4">
    <mergeCell ref="A1:E2"/>
    <mergeCell ref="L1:S1"/>
    <mergeCell ref="M2:P2"/>
    <mergeCell ref="G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Part_Int_No_Grp</vt:lpstr>
      <vt:lpstr>Part_Int_Mono_Grp</vt:lpstr>
      <vt:lpstr>Part_Int_Evident_Grp</vt:lpstr>
      <vt:lpstr>Part_Int_Opt_Grp</vt:lpstr>
      <vt:lpstr>Full_Int_No_Group</vt:lpstr>
      <vt:lpstr>Full_Int_Mono_Grp</vt:lpstr>
      <vt:lpstr>Full_Int_Evid Grp</vt:lpstr>
      <vt:lpstr>Full_Int_Opt_Grp</vt:lpstr>
      <vt:lpstr>FINAL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2019-03-08T11:25:19Z</dcterms:modified>
</cp:coreProperties>
</file>