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comments1.xml" ContentType="application/vnd.openxmlformats-officedocument.spreadsheetml.comment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Executive Dashboard" sheetId="1" r:id="rId1"/>
    <sheet name="Master Tracker" sheetId="2" r:id="rId2"/>
    <sheet name="P1 Theme Foundation" sheetId="3" r:id="rId3"/>
    <sheet name="P2 Homepage &amp; Sections" sheetId="4" r:id="rId4"/>
    <sheet name="P3 Editorial Templates" sheetId="5" r:id="rId5"/>
    <sheet name="P4 Issues Archive" sheetId="6" r:id="rId6"/>
    <sheet name="P5 Auth Subs AdOps" sheetId="7" r:id="rId7"/>
    <sheet name="P6 Cleanup &amp; Cutover" sheetId="8" r:id="rId8"/>
    <sheet name="QA &amp; Testing" sheetId="9" r:id="rId9"/>
    <sheet name="Deployment &amp; Rollback" sheetId="10" r:id="rId10"/>
    <sheet name="Risks &amp; Blockers" sheetId="11" r:id="rId11"/>
    <sheet name="Requirement Map" sheetId="12" r:id="rId12"/>
    <sheet name="Lists" sheetId="13" r:id="rId13" state="hidden"/>
  </sheets>
  <definedNames>
    <definedName name="Deadline">'Executive Dashboard'!$N$7</definedName>
    <definedName name="ProjectStart">Lists!$M$2</definedName>
    <definedName name="StatusDate">'Executive Dashboard'!$H$7</definedName>
  </definedNames>
</workbook>
</file>

<file path=xl/comments1.xml><?xml version="1.0" encoding="utf-8"?>
<comments xmlns="http://schemas.openxmlformats.org/spreadsheetml/2006/main">
  <authors>
    <author>Tracker</author>
  </authors>
  <commentList>
    <comment ref="D7" authorId="0">
      <text>
        <t>Leave blank to use today's date. Enter a date to view the project 'as of' that day.</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0">
    <numFmt numFmtId="56" formatCode="&quot;上午/下午 &quot;hh&quot;時&quot;mm&quot;分&quot;ss&quot;秒 &quot;"/>
    <numFmt numFmtId="165" formatCode="dd\ mmm\ yyyy"/>
    <numFmt numFmtId="166" formatCode="ddd\ dd\ mmm\ yyyy"/>
    <numFmt numFmtId="167" formatCode="0.0%"/>
    <numFmt numFmtId="168" formatCode="\+0.0%;\-0.0%;0.0%"/>
    <numFmt numFmtId="169" formatCode="dd\ mmm"/>
    <numFmt numFmtId="170" formatCode="dd\ mmm\ yy"/>
    <numFmt numFmtId="171" formatCode="0%;\-0%;;@"/>
    <numFmt numFmtId="172" formatCode="0%;\-0%;0%"/>
    <numFmt numFmtId="173" formatCode="dd\ mmm\ hh:mm"/>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theme" Target="theme/theme1.xml"/><Relationship Id="rId15" Type="http://schemas.openxmlformats.org/officeDocument/2006/relationships/styles" Target="styles.xml"/><Relationship Id="rId16"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altijaramagazine.com/" TargetMode="External"/><Relationship Id="rId2" Type="http://schemas.openxmlformats.org/officeDocument/2006/relationships/hyperlink" Target="https://chocolate-jellyfish-822708.hostingersite.com/" TargetMode="External"/><Relationship Id="rId3" Type="http://schemas.openxmlformats.org/officeDocument/2006/relationships/vmlDrawing" Target="../drawings/vmlDrawing1.v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hyperlink" Target="https://chocolate-jellyfish-822708.hostingersite.com/" TargetMode="External"/><Relationship Id="rId2" Type="http://schemas.openxmlformats.org/officeDocument/2006/relationships/hyperlink" Target="https://altijaramagazine.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chocolate-jellyfish-822708.hostingersite.com/"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chocolate-jellyfish-822708.hostingersite.com/"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chocolate-jellyfish-822708.hostingersite.com/"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chocolate-jellyfish-822708.hostingersite.c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chocolate-jellyfish-822708.hostingersite.com/"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chocolate-jellyfish-822708.hostingersite.com/"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chocolate-jellyfish-822708.hostingersite.com/"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altijaramagazine.com/" TargetMode="External"/></Relationships>
</file>

<file path=xl/worksheets/sheet1.xml><?xml version="1.0" encoding="utf-8"?>
<worksheet xmlns="http://schemas.openxmlformats.org/spreadsheetml/2006/main" xmlns:r="http://schemas.openxmlformats.org/officeDocument/2006/relationships">
  <dimension ref="A1:T78"/>
  <sheetViews>
    <sheetView workbookViewId="0" rightToLeft="0"/>
  </sheetViews>
  <sheetData>
    <row r="1">
      <c r="A1" t="str">
        <v xml:space="preserve">  ALTIJARA MAGAZINE TRANSFORMATION  ·  EXECUTIVE DASHBOARD</v>
      </c>
    </row>
    <row r="2">
      <c r="A2" t="str">
        <v xml:space="preserve">  Client: O2 Nations   ·   Solo Full-Stack Developer   ·   Build 12–25 Oct   ·   QA &amp; Deployment Prep 26–31 Oct   ·   Final deadline 1 Nov 2026</v>
      </c>
    </row>
    <row r="3">
      <c r="B3" t="str">
        <v>Production (do not touch):</v>
      </c>
      <c r="E3" t="str">
        <v>https://altijaramagazine.com/</v>
      </c>
      <c r="J3" t="str">
        <v>Staging (all work here):</v>
      </c>
      <c r="M3" t="str">
        <v>https://chocolate-jellyfish-822708.hostingersite.com/</v>
      </c>
    </row>
    <row r="4">
      <c r="B4" t="str">
        <v>Go to ▸</v>
      </c>
      <c r="C4" t="str">
        <v>Master</v>
      </c>
      <c r="D4" t="str">
        <v>P1</v>
      </c>
      <c r="E4" t="str">
        <v>P2</v>
      </c>
      <c r="F4" t="str">
        <v>P3</v>
      </c>
      <c r="G4" t="str">
        <v>P4</v>
      </c>
      <c r="H4" t="str">
        <v>P5</v>
      </c>
      <c r="I4" t="str">
        <v>P6</v>
      </c>
      <c r="J4" t="str">
        <v>QA</v>
      </c>
      <c r="K4" t="str">
        <v>Deploy</v>
      </c>
      <c r="L4" t="str">
        <v>Risks</v>
      </c>
      <c r="M4" t="str">
        <v>Req Map</v>
      </c>
    </row>
    <row r="6">
      <c r="B6" t="str">
        <v xml:space="preserve">  CONTROL PANEL   (yellow cells are editable — everything else is calculated)</v>
      </c>
    </row>
    <row r="7">
      <c r="B7" t="str">
        <v>Status date override</v>
      </c>
      <c r="F7" t="str">
        <v>Effective status date</v>
      </c>
      <c r="H7">
        <f>IF(D7="",TODAY(),D7)</f>
        <v>46306</v>
      </c>
      <c r="L7" t="str">
        <v>Final deadline</v>
      </c>
      <c r="N7">
        <v>46327</v>
      </c>
    </row>
    <row r="9">
      <c r="B9" t="str">
        <v xml:space="preserve">  PROGRESS OVERVIEW</v>
      </c>
    </row>
    <row r="10">
      <c r="B10" t="str">
        <v>OVERALL COMPLETION</v>
      </c>
      <c r="E10" t="str">
        <v>PLANNED BY STATUS DATE</v>
      </c>
      <c r="H10" t="str">
        <v>SCHEDULE VARIANCE</v>
      </c>
      <c r="K10" t="str">
        <v>DAYS TO 1 NOV</v>
      </c>
      <c r="N10" t="str">
        <v>SCHEDULE HEALTH</v>
      </c>
    </row>
    <row r="11">
      <c r="B11">
        <f>IFERROR(SUMPRODUCT(('Master Tracker'!$A$6:$A$400&lt;&gt;"")*'Master Tracker'!$U$6:$U$400)/COUNTIF('Master Tracker'!$A$6:$A$400,"?*"),0)</f>
        <v>0.018018018018018018</v>
      </c>
      <c r="E11">
        <f>IFERROR(SUMPRODUCT(('Master Tracker'!$A$6:$A$400&lt;&gt;"")*'Master Tracker'!$V$6:$V$400)/COUNTIF('Master Tracker'!$A$6:$A$400,"?*"),0)</f>
        <v>0</v>
      </c>
      <c r="H11">
        <f>B11-E11</f>
        <v>0.018018018018018018</v>
      </c>
      <c r="K11">
        <f>Deadline-StatusDate</f>
        <v>21</v>
      </c>
      <c r="N11" t="str">
        <f>IF(OR(N16&gt;0,L16&gt;0),"AT RISK",IF(B11-E11&lt;-0.05,"BEHIND","ON TRACK"))</f>
        <v>ON TRACK</v>
      </c>
    </row>
    <row r="12">
      <c r="B12" t="str">
        <v>average task completion</v>
      </c>
      <c r="E12" t="str">
        <v>baseline schedule</v>
      </c>
      <c r="H12" t="str">
        <v>actual − planned</v>
      </c>
      <c r="K12" t="str">
        <v>calendar days</v>
      </c>
      <c r="N12" t="str">
        <v>overdue, blocked &amp; variance</v>
      </c>
    </row>
    <row r="13">
      <c r="B13" t="str">
        <f>"Overall  "&amp;REPT("█",ROUND(B11*60,0))&amp;REPT("░",60-ROUND(B11*60,0))&amp;"  "&amp;TEXT(B11,"0%")&amp;"   |   Planned "&amp;TEXT(E11,"0%")</f>
        <v>Overall  █░░░░░░░░░░░░░░░░░░░░░░░░░░░░░░░░░░░░░░░░░░░░░░░░░░░░░░░░░░░  2%   |   Planned 0%</v>
      </c>
    </row>
    <row r="15">
      <c r="B15" t="str">
        <v>TOTAL TASKS</v>
      </c>
      <c r="D15" t="str">
        <v>COMPLETED</v>
      </c>
      <c r="F15" t="str">
        <v>IN PROGRESS</v>
      </c>
      <c r="H15" t="str">
        <v>NOT STARTED</v>
      </c>
      <c r="J15" t="str">
        <v>REVIEW / TESTING</v>
      </c>
      <c r="L15" t="str">
        <v>BLOCKED</v>
      </c>
      <c r="N15" t="str">
        <v>OVERDUE</v>
      </c>
      <c r="P15" t="str">
        <v>OPEN P0</v>
      </c>
    </row>
    <row r="16">
      <c r="B16">
        <f>COUNTIF('Master Tracker'!$A$6:$A$400,"?*")</f>
        <v>111</v>
      </c>
      <c r="D16">
        <f>COUNTIFS('Master Tracker'!$G$6:$G$400,"Completed",'Master Tracker'!$A$6:$A$400,"?*")</f>
        <v>2</v>
      </c>
      <c r="F16">
        <f>COUNTIFS('Master Tracker'!$G$6:$G$400,"In Progress",'Master Tracker'!$A$6:$A$400,"?*")</f>
        <v>0</v>
      </c>
      <c r="H16">
        <f>COUNTIFS('Master Tracker'!$G$6:$G$400,"Not Started",'Master Tracker'!$A$6:$A$400,"?*")</f>
        <v>109</v>
      </c>
      <c r="J16">
        <f>COUNTIFS('Master Tracker'!$G$6:$G$400,"In Review",'Master Tracker'!$A$6:$A$400,"?*")+COUNTIFS('Master Tracker'!$G$6:$G$400,"Testing",'Master Tracker'!$A$6:$A$400,"?*")</f>
        <v>0</v>
      </c>
      <c r="L16">
        <f>COUNTIFS('Master Tracker'!$G$6:$G$400,"Blocked",'Master Tracker'!$A$6:$A$400,"?*")</f>
        <v>0</v>
      </c>
      <c r="N16">
        <f>COUNTIF('Master Tracker'!$X$6:$X$400,"OVERDUE")</f>
        <v>0</v>
      </c>
      <c r="P16">
        <f>COUNTIFS('Master Tracker'!$F$6:$F$400,"P0",'Master Tracker'!$G$6:$G$400,"&lt;&gt;Completed",'Master Tracker'!$A$6:$A$400,"?*")</f>
        <v>71</v>
      </c>
    </row>
    <row r="17">
      <c r="B17" t="str">
        <v>in scope</v>
      </c>
      <c r="D17" t="str">
        <f>IF($B$16=0,"",TEXT(D16/$B$16,"0%")&amp;" of tasks")</f>
        <v>2% of tasks</v>
      </c>
      <c r="F17" t="str">
        <f>IF($B$16=0,"",TEXT(F16/$B$16,"0%")&amp;" of tasks")</f>
        <v>0% of tasks</v>
      </c>
      <c r="H17" t="str">
        <f>IF($B$16=0,"",TEXT(H16/$B$16,"0%")&amp;" of tasks")</f>
        <v>98% of tasks</v>
      </c>
      <c r="J17" t="str">
        <f>IF($B$16=0,"",TEXT(J16/$B$16,"0%")&amp;" of tasks")</f>
        <v>0% of tasks</v>
      </c>
      <c r="L17" t="str">
        <f>IF($B$16=0,"",TEXT(L16/$B$16,"0%")&amp;" of tasks")</f>
        <v>0% of tasks</v>
      </c>
      <c r="N17" t="str">
        <f>IF($B$16=0,"",TEXT(N16/$B$16,"0%")&amp;" of tasks")</f>
        <v>0% of tasks</v>
      </c>
      <c r="P17" t="str">
        <f>IF($B$16=0,"",TEXT(P16/$B$16,"0%")&amp;" of tasks")</f>
        <v>64% of tasks</v>
      </c>
    </row>
    <row r="19">
      <c r="B19" t="str">
        <v xml:space="preserve">  PHASE PROGRESS   (click a phase name to open its tracker)</v>
      </c>
    </row>
    <row r="20">
      <c r="B20" t="str">
        <v>Phase</v>
      </c>
      <c r="C20" t="str">
        <v>Phase name</v>
      </c>
      <c r="F20" t="str">
        <v>Window</v>
      </c>
      <c r="G20" t="str">
        <v>Tasks</v>
      </c>
      <c r="H20" t="str">
        <v>Done</v>
      </c>
      <c r="I20" t="str">
        <v>Blocked</v>
      </c>
      <c r="J20" t="str">
        <v>Overdue</v>
      </c>
      <c r="K20" t="str">
        <v>In Prog.</v>
      </c>
      <c r="L20" t="str">
        <v>Open P0</v>
      </c>
      <c r="M20" t="str">
        <v>Planned %</v>
      </c>
      <c r="N20" t="str">
        <v>Actual %</v>
      </c>
      <c r="O20" t="str">
        <v>Progress</v>
      </c>
      <c r="Q20" t="str">
        <v>Health</v>
      </c>
    </row>
    <row r="21">
      <c r="B21" t="str">
        <v>P1</v>
      </c>
      <c r="C21" t="str">
        <v>Theme Foundation &amp; Asset Pipeline</v>
      </c>
      <c r="F21" t="str">
        <f>TEXT(MINIFS('Master Tracker'!$H$6:$H$400,'Master Tracker'!$B$6:$B$400,"Phase 1"),"dd mmm")&amp;" – "&amp;TEXT(MAXIFS('Master Tracker'!$I$6:$I$400,'Master Tracker'!$B$6:$B$400,"Phase 1"),"dd mmm")</f>
        <v>12 Oct – 14 Oct</v>
      </c>
      <c r="G21">
        <f>COUNTIFS('Master Tracker'!$B$6:$B$400,"Phase 1",'Master Tracker'!$A$6:$A$400,"?*")</f>
        <v>17</v>
      </c>
      <c r="H21">
        <f>COUNTIFS('Master Tracker'!$B$6:$B$400,"Phase 1",'Master Tracker'!$G$6:$G$400,"Completed")</f>
        <v>2</v>
      </c>
      <c r="I21">
        <f>COUNTIFS('Master Tracker'!$B$6:$B$400,"Phase 1",'Master Tracker'!$G$6:$G$400,"Blocked")</f>
        <v>0</v>
      </c>
      <c r="J21">
        <f>COUNTIFS('Master Tracker'!$B$6:$B$400,"Phase 1",'Master Tracker'!$X$6:$X$400,"OVERDUE")</f>
        <v>0</v>
      </c>
      <c r="K21">
        <f>COUNTIFS('Master Tracker'!$B$6:$B$400,"Phase 1",'Master Tracker'!$G$6:$G$400,"In Progress")</f>
        <v>0</v>
      </c>
      <c r="L21">
        <f>COUNTIFS('Master Tracker'!$B$6:$B$400,"Phase 1",'Master Tracker'!$F$6:$F$400,"P0",'Master Tracker'!$G$6:$G$400,"&lt;&gt;Completed",'Master Tracker'!$A$6:$A$400,"?*")</f>
        <v>12</v>
      </c>
      <c r="M21">
        <f>IFERROR(SUMPRODUCT(('Master Tracker'!$B$6:$B$400="Phase 1")*'Master Tracker'!$V$6:$V$400)/G21,0)</f>
        <v>0</v>
      </c>
      <c r="N21">
        <f>IFERROR(SUMPRODUCT(('Master Tracker'!$B$6:$B$400="Phase 1")*'Master Tracker'!$U$6:$U$400)/G21,0)</f>
        <v>0.11764705882352941</v>
      </c>
      <c r="O21" t="str">
        <f>REPT("█",ROUND(N21*14,0))&amp;REPT("░",14-ROUND(N21*14,0))</f>
        <v>██░░░░░░░░░░░░</v>
      </c>
      <c r="Q21" t="str">
        <f>IF(G21=0,"—",IF(H21=G21,"Complete",IF(I21&gt;0,"Blocked",IF(J21&gt;0,"Behind",IF(N21+0.1&lt;M21,"Behind",IF(N21&gt;0,"On Track","Not Started"))))))</f>
        <v>On Track</v>
      </c>
    </row>
    <row r="22">
      <c r="B22" t="str">
        <v>P2</v>
      </c>
      <c r="C22" t="str">
        <v>Homepage &amp; Dynamic Section Manager</v>
      </c>
      <c r="F22" t="str">
        <f>TEXT(MINIFS('Master Tracker'!$H$6:$H$400,'Master Tracker'!$B$6:$B$400,"Phase 2"),"dd mmm")&amp;" – "&amp;TEXT(MAXIFS('Master Tracker'!$I$6:$I$400,'Master Tracker'!$B$6:$B$400,"Phase 2"),"dd mmm")</f>
        <v>15 Oct – 17 Oct</v>
      </c>
      <c r="G22">
        <f>COUNTIFS('Master Tracker'!$B$6:$B$400,"Phase 2",'Master Tracker'!$A$6:$A$400,"?*")</f>
        <v>24</v>
      </c>
      <c r="H22">
        <f>COUNTIFS('Master Tracker'!$B$6:$B$400,"Phase 2",'Master Tracker'!$G$6:$G$400,"Completed")</f>
        <v>0</v>
      </c>
      <c r="I22">
        <f>COUNTIFS('Master Tracker'!$B$6:$B$400,"Phase 2",'Master Tracker'!$G$6:$G$400,"Blocked")</f>
        <v>0</v>
      </c>
      <c r="J22">
        <f>COUNTIFS('Master Tracker'!$B$6:$B$400,"Phase 2",'Master Tracker'!$X$6:$X$400,"OVERDUE")</f>
        <v>0</v>
      </c>
      <c r="K22">
        <f>COUNTIFS('Master Tracker'!$B$6:$B$400,"Phase 2",'Master Tracker'!$G$6:$G$400,"In Progress")</f>
        <v>0</v>
      </c>
      <c r="L22">
        <f>COUNTIFS('Master Tracker'!$B$6:$B$400,"Phase 2",'Master Tracker'!$F$6:$F$400,"P0",'Master Tracker'!$G$6:$G$400,"&lt;&gt;Completed",'Master Tracker'!$A$6:$A$400,"?*")</f>
        <v>11</v>
      </c>
      <c r="M22">
        <f>IFERROR(SUMPRODUCT(('Master Tracker'!$B$6:$B$400="Phase 2")*'Master Tracker'!$V$6:$V$400)/G22,0)</f>
        <v>0</v>
      </c>
      <c r="N22">
        <f>IFERROR(SUMPRODUCT(('Master Tracker'!$B$6:$B$400="Phase 2")*'Master Tracker'!$U$6:$U$400)/G22,0)</f>
        <v>0</v>
      </c>
      <c r="O22" t="str">
        <f>REPT("█",ROUND(N22*14,0))&amp;REPT("░",14-ROUND(N22*14,0))</f>
        <v>░░░░░░░░░░░░░░</v>
      </c>
      <c r="Q22" t="str">
        <f>IF(G22=0,"—",IF(H22=G22,"Complete",IF(I22&gt;0,"Blocked",IF(J22&gt;0,"Behind",IF(N22+0.1&lt;M22,"Behind",IF(N22&gt;0,"On Track","Not Started"))))))</f>
        <v>Not Started</v>
      </c>
    </row>
    <row r="23">
      <c r="B23" t="str">
        <v>P3</v>
      </c>
      <c r="C23" t="str">
        <v>Editorial &amp; Taxonomy Templates</v>
      </c>
      <c r="F23" t="str">
        <f>TEXT(MINIFS('Master Tracker'!$H$6:$H$400,'Master Tracker'!$B$6:$B$400,"Phase 3"),"dd mmm")&amp;" – "&amp;TEXT(MAXIFS('Master Tracker'!$I$6:$I$400,'Master Tracker'!$B$6:$B$400,"Phase 3"),"dd mmm")</f>
        <v>18 Oct – 20 Oct</v>
      </c>
      <c r="G23">
        <f>COUNTIFS('Master Tracker'!$B$6:$B$400,"Phase 3",'Master Tracker'!$A$6:$A$400,"?*")</f>
        <v>16</v>
      </c>
      <c r="H23">
        <f>COUNTIFS('Master Tracker'!$B$6:$B$400,"Phase 3",'Master Tracker'!$G$6:$G$400,"Completed")</f>
        <v>0</v>
      </c>
      <c r="I23">
        <f>COUNTIFS('Master Tracker'!$B$6:$B$400,"Phase 3",'Master Tracker'!$G$6:$G$400,"Blocked")</f>
        <v>0</v>
      </c>
      <c r="J23">
        <f>COUNTIFS('Master Tracker'!$B$6:$B$400,"Phase 3",'Master Tracker'!$X$6:$X$400,"OVERDUE")</f>
        <v>0</v>
      </c>
      <c r="K23">
        <f>COUNTIFS('Master Tracker'!$B$6:$B$400,"Phase 3",'Master Tracker'!$G$6:$G$400,"In Progress")</f>
        <v>0</v>
      </c>
      <c r="L23">
        <f>COUNTIFS('Master Tracker'!$B$6:$B$400,"Phase 3",'Master Tracker'!$F$6:$F$400,"P0",'Master Tracker'!$G$6:$G$400,"&lt;&gt;Completed",'Master Tracker'!$A$6:$A$400,"?*")</f>
        <v>8</v>
      </c>
      <c r="M23">
        <f>IFERROR(SUMPRODUCT(('Master Tracker'!$B$6:$B$400="Phase 3")*'Master Tracker'!$V$6:$V$400)/G23,0)</f>
        <v>0</v>
      </c>
      <c r="N23">
        <f>IFERROR(SUMPRODUCT(('Master Tracker'!$B$6:$B$400="Phase 3")*'Master Tracker'!$U$6:$U$400)/G23,0)</f>
        <v>0</v>
      </c>
      <c r="O23" t="str">
        <f>REPT("█",ROUND(N23*14,0))&amp;REPT("░",14-ROUND(N23*14,0))</f>
        <v>░░░░░░░░░░░░░░</v>
      </c>
      <c r="Q23" t="str">
        <f>IF(G23=0,"—",IF(H23=G23,"Complete",IF(I23&gt;0,"Blocked",IF(J23&gt;0,"Behind",IF(N23+0.1&lt;M23,"Behind",IF(N23&gt;0,"On Track","Not Started"))))))</f>
        <v>Not Started</v>
      </c>
    </row>
    <row r="24">
      <c r="B24" t="str">
        <v>P4</v>
      </c>
      <c r="C24" t="str">
        <v>Digital Issues Archive &amp; CPT Engine</v>
      </c>
      <c r="F24" t="str">
        <f>TEXT(MINIFS('Master Tracker'!$H$6:$H$400,'Master Tracker'!$B$6:$B$400,"Phase 4"),"dd mmm")&amp;" – "&amp;TEXT(MAXIFS('Master Tracker'!$I$6:$I$400,'Master Tracker'!$B$6:$B$400,"Phase 4"),"dd mmm")</f>
        <v>12 Oct – 22 Oct</v>
      </c>
      <c r="G24">
        <f>COUNTIFS('Master Tracker'!$B$6:$B$400,"Phase 4",'Master Tracker'!$A$6:$A$400,"?*")</f>
        <v>12</v>
      </c>
      <c r="H24">
        <f>COUNTIFS('Master Tracker'!$B$6:$B$400,"Phase 4",'Master Tracker'!$G$6:$G$400,"Completed")</f>
        <v>0</v>
      </c>
      <c r="I24">
        <f>COUNTIFS('Master Tracker'!$B$6:$B$400,"Phase 4",'Master Tracker'!$G$6:$G$400,"Blocked")</f>
        <v>0</v>
      </c>
      <c r="J24">
        <f>COUNTIFS('Master Tracker'!$B$6:$B$400,"Phase 4",'Master Tracker'!$X$6:$X$400,"OVERDUE")</f>
        <v>0</v>
      </c>
      <c r="K24">
        <f>COUNTIFS('Master Tracker'!$B$6:$B$400,"Phase 4",'Master Tracker'!$G$6:$G$400,"In Progress")</f>
        <v>0</v>
      </c>
      <c r="L24">
        <f>COUNTIFS('Master Tracker'!$B$6:$B$400,"Phase 4",'Master Tracker'!$F$6:$F$400,"P0",'Master Tracker'!$G$6:$G$400,"&lt;&gt;Completed",'Master Tracker'!$A$6:$A$400,"?*")</f>
        <v>9</v>
      </c>
      <c r="M24">
        <f>IFERROR(SUMPRODUCT(('Master Tracker'!$B$6:$B$400="Phase 4")*'Master Tracker'!$V$6:$V$400)/G24,0)</f>
        <v>0</v>
      </c>
      <c r="N24">
        <f>IFERROR(SUMPRODUCT(('Master Tracker'!$B$6:$B$400="Phase 4")*'Master Tracker'!$U$6:$U$400)/G24,0)</f>
        <v>0</v>
      </c>
      <c r="O24" t="str">
        <f>REPT("█",ROUND(N24*14,0))&amp;REPT("░",14-ROUND(N24*14,0))</f>
        <v>░░░░░░░░░░░░░░</v>
      </c>
      <c r="Q24" t="str">
        <f>IF(G24=0,"—",IF(H24=G24,"Complete",IF(I24&gt;0,"Blocked",IF(J24&gt;0,"Behind",IF(N24+0.1&lt;M24,"Behind",IF(N24&gt;0,"On Track","Not Started"))))))</f>
        <v>Not Started</v>
      </c>
    </row>
    <row r="25">
      <c r="B25" t="str">
        <v>P5</v>
      </c>
      <c r="C25" t="str">
        <v>Auth, Subscriptions, AdOps &amp; Leads</v>
      </c>
      <c r="F25" t="str">
        <f>TEXT(MINIFS('Master Tracker'!$H$6:$H$400,'Master Tracker'!$B$6:$B$400,"Phase 5"),"dd mmm")&amp;" – "&amp;TEXT(MAXIFS('Master Tracker'!$I$6:$I$400,'Master Tracker'!$B$6:$B$400,"Phase 5"),"dd mmm")</f>
        <v>12 Oct – 25 Oct</v>
      </c>
      <c r="G25">
        <f>COUNTIFS('Master Tracker'!$B$6:$B$400,"Phase 5",'Master Tracker'!$A$6:$A$400,"?*")</f>
        <v>20</v>
      </c>
      <c r="H25">
        <f>COUNTIFS('Master Tracker'!$B$6:$B$400,"Phase 5",'Master Tracker'!$G$6:$G$400,"Completed")</f>
        <v>0</v>
      </c>
      <c r="I25">
        <f>COUNTIFS('Master Tracker'!$B$6:$B$400,"Phase 5",'Master Tracker'!$G$6:$G$400,"Blocked")</f>
        <v>0</v>
      </c>
      <c r="J25">
        <f>COUNTIFS('Master Tracker'!$B$6:$B$400,"Phase 5",'Master Tracker'!$X$6:$X$400,"OVERDUE")</f>
        <v>0</v>
      </c>
      <c r="K25">
        <f>COUNTIFS('Master Tracker'!$B$6:$B$400,"Phase 5",'Master Tracker'!$G$6:$G$400,"In Progress")</f>
        <v>0</v>
      </c>
      <c r="L25">
        <f>COUNTIFS('Master Tracker'!$B$6:$B$400,"Phase 5",'Master Tracker'!$F$6:$F$400,"P0",'Master Tracker'!$G$6:$G$400,"&lt;&gt;Completed",'Master Tracker'!$A$6:$A$400,"?*")</f>
        <v>11</v>
      </c>
      <c r="M25">
        <f>IFERROR(SUMPRODUCT(('Master Tracker'!$B$6:$B$400="Phase 5")*'Master Tracker'!$V$6:$V$400)/G25,0)</f>
        <v>0</v>
      </c>
      <c r="N25">
        <f>IFERROR(SUMPRODUCT(('Master Tracker'!$B$6:$B$400="Phase 5")*'Master Tracker'!$U$6:$U$400)/G25,0)</f>
        <v>0</v>
      </c>
      <c r="O25" t="str">
        <f>REPT("█",ROUND(N25*14,0))&amp;REPT("░",14-ROUND(N25*14,0))</f>
        <v>░░░░░░░░░░░░░░</v>
      </c>
      <c r="Q25" t="str">
        <f>IF(G25=0,"—",IF(H25=G25,"Complete",IF(I25&gt;0,"Blocked",IF(J25&gt;0,"Behind",IF(N25+0.1&lt;M25,"Behind",IF(N25&gt;0,"On Track","Not Started"))))))</f>
        <v>Not Started</v>
      </c>
    </row>
    <row r="26">
      <c r="B26" t="str">
        <v>P6</v>
      </c>
      <c r="C26" t="str">
        <v>Database Cleanup, Crawl Audit &amp; Cutover</v>
      </c>
      <c r="F26" t="str">
        <f>TEXT(MINIFS('Master Tracker'!$H$6:$H$400,'Master Tracker'!$B$6:$B$400,"Phase 6"),"dd mmm")&amp;" – "&amp;TEXT(MAXIFS('Master Tracker'!$I$6:$I$400,'Master Tracker'!$B$6:$B$400,"Phase 6"),"dd mmm")</f>
        <v>12 Oct – 01 Nov</v>
      </c>
      <c r="G26">
        <f>COUNTIFS('Master Tracker'!$B$6:$B$400,"Phase 6",'Master Tracker'!$A$6:$A$400,"?*")</f>
        <v>22</v>
      </c>
      <c r="H26">
        <f>COUNTIFS('Master Tracker'!$B$6:$B$400,"Phase 6",'Master Tracker'!$G$6:$G$400,"Completed")</f>
        <v>0</v>
      </c>
      <c r="I26">
        <f>COUNTIFS('Master Tracker'!$B$6:$B$400,"Phase 6",'Master Tracker'!$G$6:$G$400,"Blocked")</f>
        <v>0</v>
      </c>
      <c r="J26">
        <f>COUNTIFS('Master Tracker'!$B$6:$B$400,"Phase 6",'Master Tracker'!$X$6:$X$400,"OVERDUE")</f>
        <v>0</v>
      </c>
      <c r="K26">
        <f>COUNTIFS('Master Tracker'!$B$6:$B$400,"Phase 6",'Master Tracker'!$G$6:$G$400,"In Progress")</f>
        <v>0</v>
      </c>
      <c r="L26">
        <f>COUNTIFS('Master Tracker'!$B$6:$B$400,"Phase 6",'Master Tracker'!$F$6:$F$400,"P0",'Master Tracker'!$G$6:$G$400,"&lt;&gt;Completed",'Master Tracker'!$A$6:$A$400,"?*")</f>
        <v>20</v>
      </c>
      <c r="M26">
        <f>IFERROR(SUMPRODUCT(('Master Tracker'!$B$6:$B$400="Phase 6")*'Master Tracker'!$V$6:$V$400)/G26,0)</f>
        <v>0</v>
      </c>
      <c r="N26">
        <f>IFERROR(SUMPRODUCT(('Master Tracker'!$B$6:$B$400="Phase 6")*'Master Tracker'!$U$6:$U$400)/G26,0)</f>
        <v>0</v>
      </c>
      <c r="O26" t="str">
        <f>REPT("█",ROUND(N26*14,0))&amp;REPT("░",14-ROUND(N26*14,0))</f>
        <v>░░░░░░░░░░░░░░</v>
      </c>
      <c r="Q26" t="str">
        <f>IF(G26=0,"—",IF(H26=G26,"Complete",IF(I26&gt;0,"Blocked",IF(J26&gt;0,"Behind",IF(N26+0.1&lt;M26,"Behind",IF(N26&gt;0,"On Track","Not Started"))))))</f>
        <v>Not Started</v>
      </c>
    </row>
    <row r="27">
      <c r="B27" t="str">
        <v>TOTAL</v>
      </c>
      <c r="G27">
        <f>SUM(G21:G26)</f>
        <v>111</v>
      </c>
      <c r="H27">
        <f>SUM(H21:H26)</f>
        <v>2</v>
      </c>
      <c r="I27">
        <f>SUM(I21:I26)</f>
        <v>0</v>
      </c>
      <c r="J27">
        <f>SUM(J21:J26)</f>
        <v>0</v>
      </c>
      <c r="K27">
        <f>SUM(K21:K26)</f>
        <v>0</v>
      </c>
      <c r="L27">
        <f>SUM(L21:L26)</f>
        <v>71</v>
      </c>
      <c r="M27">
        <f>E11</f>
        <v>0</v>
      </c>
      <c r="N27">
        <f>B11</f>
        <v>0.018018018018018018</v>
      </c>
    </row>
    <row r="29">
      <c r="B29" t="str">
        <v xml:space="preserve">  PRIORITY BREAKDOWN</v>
      </c>
      <c r="J29" t="str">
        <v xml:space="preserve">  STATUS MIX</v>
      </c>
      <c r="N29" t="str">
        <v xml:space="preserve">  OPEN EXTERNAL DEPENDENCIES</v>
      </c>
    </row>
    <row r="30">
      <c r="B30" t="str">
        <v>Priority</v>
      </c>
      <c r="E30" t="str">
        <v>Tasks</v>
      </c>
      <c r="F30" t="str">
        <v>Completed</v>
      </c>
      <c r="G30" t="str">
        <v>Open</v>
      </c>
      <c r="H30" t="str">
        <v>% Done</v>
      </c>
      <c r="J30" t="str">
        <v>Status</v>
      </c>
      <c r="K30" t="str">
        <v>Count</v>
      </c>
      <c r="L30" t="str">
        <v>%</v>
      </c>
      <c r="N30" t="str">
        <v>Type</v>
      </c>
      <c r="P30" t="str">
        <v>Open</v>
      </c>
      <c r="Q30" t="str">
        <v>Next due</v>
      </c>
    </row>
    <row r="31">
      <c r="B31" t="str">
        <v>P0 · Must-have for launch</v>
      </c>
      <c r="E31">
        <f>COUNTIFS('Master Tracker'!$F$6:$F$400,"P0",'Master Tracker'!$A$6:$A$400,"?*")</f>
        <v>73</v>
      </c>
      <c r="F31">
        <f>COUNTIFS('Master Tracker'!$F$6:$F$400,"P0",'Master Tracker'!$G$6:$G$400,"Completed")</f>
        <v>2</v>
      </c>
      <c r="G31">
        <f>E31-F31</f>
        <v>71</v>
      </c>
      <c r="H31">
        <f>IFERROR(F31/E31,0)</f>
        <v>0.0273972602739726</v>
      </c>
      <c r="J31" t="str">
        <v>Not Started</v>
      </c>
      <c r="K31">
        <f>COUNTIFS('Master Tracker'!$G$6:$G$400,"Not Started",'Master Tracker'!$A$6:$A$400,"?*")</f>
        <v>109</v>
      </c>
      <c r="L31">
        <f>IFERROR(K31/$B$16,0)</f>
        <v>0.9819819819819819</v>
      </c>
      <c r="N31" t="str">
        <v>Credentials</v>
      </c>
      <c r="P31">
        <f>COUNTIFS('Master Tracker'!$S$6:$S$400,"Credentials",'Master Tracker'!$G$6:$G$400,"&lt;&gt;Completed",'Master Tracker'!$A$6:$A$400,"?*")</f>
        <v>6</v>
      </c>
      <c r="Q31">
        <f>IF(P31=0,"—",MINIFS('Master Tracker'!$I$6:$I$400,'Master Tracker'!$S$6:$S$400,"Credentials",'Master Tracker'!$G$6:$G$400,"&lt;&gt;Completed"))</f>
        <v>46308</v>
      </c>
    </row>
    <row r="32">
      <c r="B32" t="str">
        <v>P1 · Important</v>
      </c>
      <c r="E32">
        <f>COUNTIFS('Master Tracker'!$F$6:$F$400,"P1",'Master Tracker'!$A$6:$A$400,"?*")</f>
        <v>34</v>
      </c>
      <c r="F32">
        <f>COUNTIFS('Master Tracker'!$F$6:$F$400,"P1",'Master Tracker'!$G$6:$G$400,"Completed")</f>
        <v>0</v>
      </c>
      <c r="G32">
        <f>E32-F32</f>
        <v>34</v>
      </c>
      <c r="H32">
        <f>IFERROR(F32/E32,0)</f>
        <v>0</v>
      </c>
      <c r="J32" t="str">
        <v>In Progress</v>
      </c>
      <c r="K32">
        <f>COUNTIFS('Master Tracker'!$G$6:$G$400,"In Progress",'Master Tracker'!$A$6:$A$400,"?*")</f>
        <v>0</v>
      </c>
      <c r="L32">
        <f>IFERROR(K32/$B$16,0)</f>
        <v>0</v>
      </c>
      <c r="N32" t="str">
        <v>Payment Approval</v>
      </c>
      <c r="P32">
        <f>COUNTIFS('Master Tracker'!$S$6:$S$400,"Payment Approval",'Master Tracker'!$G$6:$G$400,"&lt;&gt;Completed",'Master Tracker'!$A$6:$A$400,"?*")</f>
        <v>3</v>
      </c>
      <c r="Q32">
        <f>IF(P32=0,"—",MINIFS('Master Tracker'!$I$6:$I$400,'Master Tracker'!$S$6:$S$400,"Payment Approval",'Master Tracker'!$G$6:$G$400,"&lt;&gt;Completed"))</f>
        <v>46317</v>
      </c>
    </row>
    <row r="33">
      <c r="B33" t="str">
        <v>P2 · Nice-to-have / deferrable</v>
      </c>
      <c r="E33">
        <f>COUNTIFS('Master Tracker'!$F$6:$F$400,"P2",'Master Tracker'!$A$6:$A$400,"?*")</f>
        <v>4</v>
      </c>
      <c r="F33">
        <f>COUNTIFS('Master Tracker'!$F$6:$F$400,"P2",'Master Tracker'!$G$6:$G$400,"Completed")</f>
        <v>0</v>
      </c>
      <c r="G33">
        <f>E33-F33</f>
        <v>4</v>
      </c>
      <c r="H33">
        <f>IFERROR(F33/E33,0)</f>
        <v>0</v>
      </c>
      <c r="J33" t="str">
        <v>Blocked</v>
      </c>
      <c r="K33">
        <f>COUNTIFS('Master Tracker'!$G$6:$G$400,"Blocked",'Master Tracker'!$A$6:$A$400,"?*")</f>
        <v>0</v>
      </c>
      <c r="L33">
        <f>IFERROR(K33/$B$16,0)</f>
        <v>0</v>
      </c>
      <c r="N33" t="str">
        <v>Historical Assets</v>
      </c>
      <c r="P33">
        <f>COUNTIFS('Master Tracker'!$S$6:$S$400,"Historical Assets",'Master Tracker'!$G$6:$G$400,"&lt;&gt;Completed",'Master Tracker'!$A$6:$A$400,"?*")</f>
        <v>1</v>
      </c>
      <c r="Q33">
        <f>IF(P33=0,"—",MINIFS('Master Tracker'!$I$6:$I$400,'Master Tracker'!$S$6:$S$400,"Historical Assets",'Master Tracker'!$G$6:$G$400,"&lt;&gt;Completed"))</f>
        <v>46315</v>
      </c>
    </row>
    <row r="34">
      <c r="J34" t="str">
        <v>In Review</v>
      </c>
      <c r="K34">
        <f>COUNTIFS('Master Tracker'!$G$6:$G$400,"In Review",'Master Tracker'!$A$6:$A$400,"?*")</f>
        <v>0</v>
      </c>
      <c r="L34">
        <f>IFERROR(K34/$B$16,0)</f>
        <v>0</v>
      </c>
      <c r="N34" t="str">
        <v>Server Access</v>
      </c>
      <c r="P34">
        <f>COUNTIFS('Master Tracker'!$S$6:$S$400,"Server Access",'Master Tracker'!$G$6:$G$400,"&lt;&gt;Completed",'Master Tracker'!$A$6:$A$400,"?*")</f>
        <v>9</v>
      </c>
      <c r="Q34">
        <f>IF(P34=0,"—",MINIFS('Master Tracker'!$I$6:$I$400,'Master Tracker'!$S$6:$S$400,"Server Access",'Master Tracker'!$G$6:$G$400,"&lt;&gt;Completed"))</f>
        <v>46307</v>
      </c>
    </row>
    <row r="35">
      <c r="B35" t="str">
        <f>IF(N16+L16=0,"✓ No overdue or blocked tasks.","⚠ "&amp;N16&amp;" overdue and "&amp;L16&amp;" blocked task(s). See the lists below and the Master Tracker Alert column.")</f>
        <v>✓ No overdue or blocked tasks.</v>
      </c>
      <c r="J35" t="str">
        <v>Testing</v>
      </c>
      <c r="K35">
        <f>COUNTIFS('Master Tracker'!$G$6:$G$400,"Testing",'Master Tracker'!$A$6:$A$400,"?*")</f>
        <v>0</v>
      </c>
      <c r="L35">
        <f>IFERROR(K35/$B$16,0)</f>
        <v>0</v>
      </c>
      <c r="N35" t="str">
        <v>Client Content</v>
      </c>
      <c r="P35">
        <f>COUNTIFS('Master Tracker'!$S$6:$S$400,"Client Content",'Master Tracker'!$G$6:$G$400,"&lt;&gt;Completed",'Master Tracker'!$A$6:$A$400,"?*")</f>
        <v>4</v>
      </c>
      <c r="Q35">
        <f>IF(P35=0,"—",MINIFS('Master Tracker'!$I$6:$I$400,'Master Tracker'!$S$6:$S$400,"Client Content",'Master Tracker'!$G$6:$G$400,"&lt;&gt;Completed"))</f>
        <v>46320</v>
      </c>
    </row>
    <row r="36">
      <c r="J36" t="str">
        <v>Completed</v>
      </c>
      <c r="K36">
        <f>COUNTIFS('Master Tracker'!$G$6:$G$400,"Completed",'Master Tracker'!$A$6:$A$400,"?*")</f>
        <v>2</v>
      </c>
      <c r="L36">
        <f>IFERROR(K36/$B$16,0)</f>
        <v>0.018018018018018018</v>
      </c>
    </row>
    <row r="37">
      <c r="J37" t="str">
        <v>Overdue</v>
      </c>
      <c r="K37">
        <f>N16</f>
        <v>0</v>
      </c>
      <c r="L37">
        <f>IFERROR(K37/$B$16,0)</f>
        <v>0</v>
      </c>
    </row>
    <row r="40">
      <c r="B40" t="str">
        <v xml:space="preserve">  CHARTS   (update automatically from the Master Tracker)</v>
      </c>
    </row>
    <row r="58">
      <c r="B58" t="str">
        <v xml:space="preserve">  UPCOMING DEADLINES   (next open tasks by due date)</v>
      </c>
      <c r="K58" t="str">
        <v xml:space="preserve">  CRITICAL BLOCKERS   (Blocked status or blocker text)</v>
      </c>
    </row>
    <row r="59">
      <c r="B59" t="str">
        <v>ID</v>
      </c>
      <c r="C59" t="str">
        <v>Task</v>
      </c>
      <c r="F59" t="str">
        <v>Phase</v>
      </c>
      <c r="G59" t="str">
        <v>Due</v>
      </c>
      <c r="H59" t="str">
        <v>Days</v>
      </c>
      <c r="I59" t="str">
        <v>Status</v>
      </c>
      <c r="K59" t="str">
        <v>ID</v>
      </c>
      <c r="L59" t="str">
        <v>Task</v>
      </c>
      <c r="N59" t="str">
        <v>Status</v>
      </c>
      <c r="O59" t="str">
        <v>Blocker / Issue</v>
      </c>
    </row>
    <row r="60">
      <c r="B60" t="str">
        <f>IF($S60="","",INDEX('Master Tracker'!$A$6:$A$400,$S60))</f>
        <v>P1-03</v>
      </c>
      <c r="C60" t="str">
        <f>IF($S60="","",INDEX('Master Tracker'!$D$6:$D$400,$S60))</f>
        <v>Theme setup: supports, menus, image sizes</v>
      </c>
      <c r="F60" t="str">
        <f>IF($S60="","",INDEX('Master Tracker'!$B$6:$B$400,$S60))</f>
        <v>Phase 1</v>
      </c>
      <c r="G60">
        <f>IF($S60="","",INDEX('Master Tracker'!$I$6:$I$400,$S60))</f>
        <v>46307</v>
      </c>
      <c r="H60">
        <f>IF($S60="","",INDEX('Master Tracker'!$W$6:$W$400,$S60))</f>
        <v>1</v>
      </c>
      <c r="I60" t="str">
        <f>IF($S60="","",INDEX('Master Tracker'!$G$6:$G$400,$S60))</f>
        <v>Not Started</v>
      </c>
      <c r="K60" t="str">
        <f>IF($T60="","",INDEX('Master Tracker'!$A:$A,$T60))</f>
        <v/>
      </c>
      <c r="L60" t="str">
        <f>IF($T60="","",INDEX('Master Tracker'!$D:$D,$T60))</f>
        <v/>
      </c>
      <c r="N60" t="str">
        <f>IF($T60="","",INDEX('Master Tracker'!$G:$G,$T60))</f>
        <v/>
      </c>
      <c r="O60" t="str">
        <f>IF($T60="","",INDEX('Master Tracker'!$P:$P,$T60))</f>
        <v/>
      </c>
      <c r="S60">
        <f>IFERROR(MATCH(SMALL('Master Tracker'!$AA$6:$AA$400,1),'Master Tracker'!$AA$6:$AA$400,0),"")</f>
        <v>3</v>
      </c>
      <c r="T60" t="str">
        <f>IFERROR(SMALL('Master Tracker'!$AB$6:$AB$400,1),"")</f>
        <v/>
      </c>
    </row>
    <row r="61">
      <c r="B61" t="str">
        <f>IF($S61="","",INDEX('Master Tracker'!$A$6:$A$400,$S61))</f>
        <v>P1-04</v>
      </c>
      <c r="C61" t="str">
        <f>IF($S61="","",INDEX('Master Tracker'!$D$6:$D$400,$S61))</f>
        <v>Asset enqueue, versioning &amp; conditional loading</v>
      </c>
      <c r="F61" t="str">
        <f>IF($S61="","",INDEX('Master Tracker'!$B$6:$B$400,$S61))</f>
        <v>Phase 1</v>
      </c>
      <c r="G61">
        <f>IF($S61="","",INDEX('Master Tracker'!$I$6:$I$400,$S61))</f>
        <v>46307</v>
      </c>
      <c r="H61">
        <f>IF($S61="","",INDEX('Master Tracker'!$W$6:$W$400,$S61))</f>
        <v>1</v>
      </c>
      <c r="I61" t="str">
        <f>IF($S61="","",INDEX('Master Tracker'!$G$6:$G$400,$S61))</f>
        <v>Not Started</v>
      </c>
      <c r="K61" t="str">
        <f>IF($T61="","",INDEX('Master Tracker'!$A:$A,$T61))</f>
        <v/>
      </c>
      <c r="L61" t="str">
        <f>IF($T61="","",INDEX('Master Tracker'!$D:$D,$T61))</f>
        <v/>
      </c>
      <c r="N61" t="str">
        <f>IF($T61="","",INDEX('Master Tracker'!$G:$G,$T61))</f>
        <v/>
      </c>
      <c r="O61" t="str">
        <f>IF($T61="","",INDEX('Master Tracker'!$P:$P,$T61))</f>
        <v/>
      </c>
      <c r="S61">
        <f>IFERROR(MATCH(SMALL('Master Tracker'!$AA$6:$AA$400,2),'Master Tracker'!$AA$6:$AA$400,0),"")</f>
        <v>4</v>
      </c>
      <c r="T61" t="str">
        <f>IFERROR(SMALL('Master Tracker'!$AB$6:$AB$400,2),"")</f>
        <v/>
      </c>
    </row>
    <row r="62">
      <c r="B62" t="str">
        <f>IF($S62="","",INDEX('Master Tracker'!$A$6:$A$400,$S62))</f>
        <v>P1-05</v>
      </c>
      <c r="C62" t="str">
        <f>IF($S62="","",INDEX('Master Tracker'!$D$6:$D$400,$S62))</f>
        <v>Base template hierarchy</v>
      </c>
      <c r="F62" t="str">
        <f>IF($S62="","",INDEX('Master Tracker'!$B$6:$B$400,$S62))</f>
        <v>Phase 1</v>
      </c>
      <c r="G62">
        <f>IF($S62="","",INDEX('Master Tracker'!$I$6:$I$400,$S62))</f>
        <v>46307</v>
      </c>
      <c r="H62">
        <f>IF($S62="","",INDEX('Master Tracker'!$W$6:$W$400,$S62))</f>
        <v>1</v>
      </c>
      <c r="I62" t="str">
        <f>IF($S62="","",INDEX('Master Tracker'!$G$6:$G$400,$S62))</f>
        <v>Not Started</v>
      </c>
      <c r="K62" t="str">
        <f>IF($T62="","",INDEX('Master Tracker'!$A:$A,$T62))</f>
        <v/>
      </c>
      <c r="L62" t="str">
        <f>IF($T62="","",INDEX('Master Tracker'!$D:$D,$T62))</f>
        <v/>
      </c>
      <c r="N62" t="str">
        <f>IF($T62="","",INDEX('Master Tracker'!$G:$G,$T62))</f>
        <v/>
      </c>
      <c r="O62" t="str">
        <f>IF($T62="","",INDEX('Master Tracker'!$P:$P,$T62))</f>
        <v/>
      </c>
      <c r="S62">
        <f>IFERROR(MATCH(SMALL('Master Tracker'!$AA$6:$AA$400,3),'Master Tracker'!$AA$6:$AA$400,0),"")</f>
        <v>5</v>
      </c>
      <c r="T62" t="str">
        <f>IFERROR(SMALL('Master Tracker'!$AB$6:$AB$400,3),"")</f>
        <v/>
      </c>
    </row>
    <row r="63">
      <c r="B63" t="str">
        <f>IF($S63="","",INDEX('Master Tracker'!$A$6:$A$400,$S63))</f>
        <v>P1-06</v>
      </c>
      <c r="C63" t="str">
        <f>IF($S63="","",INDEX('Master Tracker'!$D$6:$D$400,$S63))</f>
        <v>Reusable template-part components</v>
      </c>
      <c r="F63" t="str">
        <f>IF($S63="","",INDEX('Master Tracker'!$B$6:$B$400,$S63))</f>
        <v>Phase 1</v>
      </c>
      <c r="G63">
        <f>IF($S63="","",INDEX('Master Tracker'!$I$6:$I$400,$S63))</f>
        <v>46307</v>
      </c>
      <c r="H63">
        <f>IF($S63="","",INDEX('Master Tracker'!$W$6:$W$400,$S63))</f>
        <v>1</v>
      </c>
      <c r="I63" t="str">
        <f>IF($S63="","",INDEX('Master Tracker'!$G$6:$G$400,$S63))</f>
        <v>Not Started</v>
      </c>
      <c r="K63" t="str">
        <f>IF($T63="","",INDEX('Master Tracker'!$A:$A,$T63))</f>
        <v/>
      </c>
      <c r="L63" t="str">
        <f>IF($T63="","",INDEX('Master Tracker'!$D:$D,$T63))</f>
        <v/>
      </c>
      <c r="N63" t="str">
        <f>IF($T63="","",INDEX('Master Tracker'!$G:$G,$T63))</f>
        <v/>
      </c>
      <c r="O63" t="str">
        <f>IF($T63="","",INDEX('Master Tracker'!$P:$P,$T63))</f>
        <v/>
      </c>
      <c r="S63">
        <f>IFERROR(MATCH(SMALL('Master Tracker'!$AA$6:$AA$400,4),'Master Tracker'!$AA$6:$AA$400,0),"")</f>
        <v>6</v>
      </c>
      <c r="T63" t="str">
        <f>IFERROR(SMALL('Master Tracker'!$AB$6:$AB$400,4),"")</f>
        <v/>
      </c>
    </row>
    <row r="64">
      <c r="B64" t="str">
        <f>IF($S64="","",INDEX('Master Tracker'!$A$6:$A$400,$S64))</f>
        <v>P6-01</v>
      </c>
      <c r="C64" t="str">
        <f>IF($S64="","",INDEX('Master Tracker'!$D$6:$D$400,$S64))</f>
        <v>Full production backup (files + DB) before any work</v>
      </c>
      <c r="F64" t="str">
        <f>IF($S64="","",INDEX('Master Tracker'!$B$6:$B$400,$S64))</f>
        <v>Phase 6</v>
      </c>
      <c r="G64">
        <f>IF($S64="","",INDEX('Master Tracker'!$I$6:$I$400,$S64))</f>
        <v>46307</v>
      </c>
      <c r="H64">
        <f>IF($S64="","",INDEX('Master Tracker'!$W$6:$W$400,$S64))</f>
        <v>1</v>
      </c>
      <c r="I64" t="str">
        <f>IF($S64="","",INDEX('Master Tracker'!$G$6:$G$400,$S64))</f>
        <v>Not Started</v>
      </c>
      <c r="K64" t="str">
        <f>IF($T64="","",INDEX('Master Tracker'!$A:$A,$T64))</f>
        <v/>
      </c>
      <c r="L64" t="str">
        <f>IF($T64="","",INDEX('Master Tracker'!$D:$D,$T64))</f>
        <v/>
      </c>
      <c r="N64" t="str">
        <f>IF($T64="","",INDEX('Master Tracker'!$G:$G,$T64))</f>
        <v/>
      </c>
      <c r="O64" t="str">
        <f>IF($T64="","",INDEX('Master Tracker'!$P:$P,$T64))</f>
        <v/>
      </c>
      <c r="S64">
        <f>IFERROR(MATCH(SMALL('Master Tracker'!$AA$6:$AA$400,5),'Master Tracker'!$AA$6:$AA$400,0),"")</f>
        <v>90</v>
      </c>
      <c r="T64" t="str">
        <f>IFERROR(SMALL('Master Tracker'!$AB$6:$AB$400,5),"")</f>
        <v/>
      </c>
    </row>
    <row r="65">
      <c r="B65" t="str">
        <f>IF($S65="","",INDEX('Master Tracker'!$A$6:$A$400,$S65))</f>
        <v>P6-02</v>
      </c>
      <c r="C65" t="str">
        <f>IF($S65="","",INDEX('Master Tracker'!$D$6:$D$400,$S65))</f>
        <v>Verify staging mirrors production</v>
      </c>
      <c r="F65" t="str">
        <f>IF($S65="","",INDEX('Master Tracker'!$B$6:$B$400,$S65))</f>
        <v>Phase 6</v>
      </c>
      <c r="G65">
        <f>IF($S65="","",INDEX('Master Tracker'!$I$6:$I$400,$S65))</f>
        <v>46307</v>
      </c>
      <c r="H65">
        <f>IF($S65="","",INDEX('Master Tracker'!$W$6:$W$400,$S65))</f>
        <v>1</v>
      </c>
      <c r="I65" t="str">
        <f>IF($S65="","",INDEX('Master Tracker'!$G$6:$G$400,$S65))</f>
        <v>Not Started</v>
      </c>
      <c r="K65" t="str">
        <f>IF($T65="","",INDEX('Master Tracker'!$A:$A,$T65))</f>
        <v/>
      </c>
      <c r="L65" t="str">
        <f>IF($T65="","",INDEX('Master Tracker'!$D:$D,$T65))</f>
        <v/>
      </c>
      <c r="N65" t="str">
        <f>IF($T65="","",INDEX('Master Tracker'!$G:$G,$T65))</f>
        <v/>
      </c>
      <c r="O65" t="str">
        <f>IF($T65="","",INDEX('Master Tracker'!$P:$P,$T65))</f>
        <v/>
      </c>
      <c r="S65">
        <f>IFERROR(MATCH(SMALL('Master Tracker'!$AA$6:$AA$400,6),'Master Tracker'!$AA$6:$AA$400,0),"")</f>
        <v>91</v>
      </c>
      <c r="T65" t="str">
        <f>IFERROR(SMALL('Master Tracker'!$AB$6:$AB$400,6),"")</f>
        <v/>
      </c>
    </row>
    <row r="66">
      <c r="B66" t="str">
        <f>IF($S66="","",INDEX('Master Tracker'!$A$6:$A$400,$S66))</f>
        <v>P1-07</v>
      </c>
      <c r="C66" t="str">
        <f>IF($S66="","",INDEX('Master Tracker'!$D$6:$D$400,$S66))</f>
        <v>CSS architecture &amp; design tokens</v>
      </c>
      <c r="F66" t="str">
        <f>IF($S66="","",INDEX('Master Tracker'!$B$6:$B$400,$S66))</f>
        <v>Phase 1</v>
      </c>
      <c r="G66">
        <f>IF($S66="","",INDEX('Master Tracker'!$I$6:$I$400,$S66))</f>
        <v>46308</v>
      </c>
      <c r="H66">
        <f>IF($S66="","",INDEX('Master Tracker'!$W$6:$W$400,$S66))</f>
        <v>2</v>
      </c>
      <c r="I66" t="str">
        <f>IF($S66="","",INDEX('Master Tracker'!$G$6:$G$400,$S66))</f>
        <v>Not Started</v>
      </c>
      <c r="K66" t="str">
        <f>IF($T66="","",INDEX('Master Tracker'!$A:$A,$T66))</f>
        <v/>
      </c>
      <c r="L66" t="str">
        <f>IF($T66="","",INDEX('Master Tracker'!$D:$D,$T66))</f>
        <v/>
      </c>
      <c r="N66" t="str">
        <f>IF($T66="","",INDEX('Master Tracker'!$G:$G,$T66))</f>
        <v/>
      </c>
      <c r="O66" t="str">
        <f>IF($T66="","",INDEX('Master Tracker'!$P:$P,$T66))</f>
        <v/>
      </c>
      <c r="S66">
        <f>IFERROR(MATCH(SMALL('Master Tracker'!$AA$6:$AA$400,7),'Master Tracker'!$AA$6:$AA$400,0),"")</f>
        <v>7</v>
      </c>
      <c r="T66" t="str">
        <f>IFERROR(SMALL('Master Tracker'!$AB$6:$AB$400,7),"")</f>
        <v/>
      </c>
    </row>
    <row r="67">
      <c r="B67" t="str">
        <f>IF($S67="","",INDEX('Master Tracker'!$A$6:$A$400,$S67))</f>
        <v>P1-08</v>
      </c>
      <c r="C67" t="str">
        <f>IF($S67="","",INDEX('Master Tracker'!$D$6:$D$400,$S67))</f>
        <v>Vanilla JS module architecture</v>
      </c>
      <c r="F67" t="str">
        <f>IF($S67="","",INDEX('Master Tracker'!$B$6:$B$400,$S67))</f>
        <v>Phase 1</v>
      </c>
      <c r="G67">
        <f>IF($S67="","",INDEX('Master Tracker'!$I$6:$I$400,$S67))</f>
        <v>46308</v>
      </c>
      <c r="H67">
        <f>IF($S67="","",INDEX('Master Tracker'!$W$6:$W$400,$S67))</f>
        <v>2</v>
      </c>
      <c r="I67" t="str">
        <f>IF($S67="","",INDEX('Master Tracker'!$G$6:$G$400,$S67))</f>
        <v>Not Started</v>
      </c>
      <c r="K67" t="str">
        <f>IF($T67="","",INDEX('Master Tracker'!$A:$A,$T67))</f>
        <v/>
      </c>
      <c r="L67" t="str">
        <f>IF($T67="","",INDEX('Master Tracker'!$D:$D,$T67))</f>
        <v/>
      </c>
      <c r="N67" t="str">
        <f>IF($T67="","",INDEX('Master Tracker'!$G:$G,$T67))</f>
        <v/>
      </c>
      <c r="O67" t="str">
        <f>IF($T67="","",INDEX('Master Tracker'!$P:$P,$T67))</f>
        <v/>
      </c>
      <c r="S67">
        <f>IFERROR(MATCH(SMALL('Master Tracker'!$AA$6:$AA$400,8),'Master Tracker'!$AA$6:$AA$400,0),"")</f>
        <v>8</v>
      </c>
      <c r="T67" t="str">
        <f>IFERROR(SMALL('Master Tracker'!$AB$6:$AB$400,8),"")</f>
        <v/>
      </c>
    </row>
    <row r="68">
      <c r="B68" t="str">
        <f>IF($S68="","",INDEX('Master Tracker'!$A$6:$A$400,$S68))</f>
        <v>P1-09</v>
      </c>
      <c r="C68" t="str">
        <f>IF($S68="","",INDEX('Master Tracker'!$D$6:$D$400,$S68))</f>
        <v>RTL layout &amp; Arabic typography</v>
      </c>
      <c r="F68" t="str">
        <f>IF($S68="","",INDEX('Master Tracker'!$B$6:$B$400,$S68))</f>
        <v>Phase 1</v>
      </c>
      <c r="G68">
        <f>IF($S68="","",INDEX('Master Tracker'!$I$6:$I$400,$S68))</f>
        <v>46308</v>
      </c>
      <c r="H68">
        <f>IF($S68="","",INDEX('Master Tracker'!$W$6:$W$400,$S68))</f>
        <v>2</v>
      </c>
      <c r="I68" t="str">
        <f>IF($S68="","",INDEX('Master Tracker'!$G$6:$G$400,$S68))</f>
        <v>Not Started</v>
      </c>
      <c r="K68" t="str">
        <f>IF($T68="","",INDEX('Master Tracker'!$A:$A,$T68))</f>
        <v/>
      </c>
      <c r="L68" t="str">
        <f>IF($T68="","",INDEX('Master Tracker'!$D:$D,$T68))</f>
        <v/>
      </c>
      <c r="N68" t="str">
        <f>IF($T68="","",INDEX('Master Tracker'!$G:$G,$T68))</f>
        <v/>
      </c>
      <c r="O68" t="str">
        <f>IF($T68="","",INDEX('Master Tracker'!$P:$P,$T68))</f>
        <v/>
      </c>
      <c r="S68">
        <f>IFERROR(MATCH(SMALL('Master Tracker'!$AA$6:$AA$400,9),'Master Tracker'!$AA$6:$AA$400,0),"")</f>
        <v>9</v>
      </c>
      <c r="T68" t="str">
        <f>IFERROR(SMALL('Master Tracker'!$AB$6:$AB$400,9),"")</f>
        <v/>
      </c>
    </row>
    <row r="69">
      <c r="B69" t="str">
        <f>IF($S69="","",INDEX('Master Tracker'!$A$6:$A$400,$S69))</f>
        <v>P1-10</v>
      </c>
      <c r="C69" t="str">
        <f>IF($S69="","",INDEX('Master Tracker'!$D$6:$D$400,$S69))</f>
        <v>Responsive grid &amp; breakpoints</v>
      </c>
      <c r="F69" t="str">
        <f>IF($S69="","",INDEX('Master Tracker'!$B$6:$B$400,$S69))</f>
        <v>Phase 1</v>
      </c>
      <c r="G69">
        <f>IF($S69="","",INDEX('Master Tracker'!$I$6:$I$400,$S69))</f>
        <v>46308</v>
      </c>
      <c r="H69">
        <f>IF($S69="","",INDEX('Master Tracker'!$W$6:$W$400,$S69))</f>
        <v>2</v>
      </c>
      <c r="I69" t="str">
        <f>IF($S69="","",INDEX('Master Tracker'!$G$6:$G$400,$S69))</f>
        <v>Not Started</v>
      </c>
      <c r="K69" t="str">
        <f>IF($T69="","",INDEX('Master Tracker'!$A:$A,$T69))</f>
        <v/>
      </c>
      <c r="L69" t="str">
        <f>IF($T69="","",INDEX('Master Tracker'!$D:$D,$T69))</f>
        <v/>
      </c>
      <c r="N69" t="str">
        <f>IF($T69="","",INDEX('Master Tracker'!$G:$G,$T69))</f>
        <v/>
      </c>
      <c r="O69" t="str">
        <f>IF($T69="","",INDEX('Master Tracker'!$P:$P,$T69))</f>
        <v/>
      </c>
      <c r="S69">
        <f>IFERROR(MATCH(SMALL('Master Tracker'!$AA$6:$AA$400,10),'Master Tracker'!$AA$6:$AA$400,0),"")</f>
        <v>10</v>
      </c>
      <c r="T69" t="str">
        <f>IFERROR(SMALL('Master Tracker'!$AB$6:$AB$400,10),"")</f>
        <v/>
      </c>
    </row>
    <row r="70">
      <c r="K70" t="str">
        <f>IF(COUNT(T60:T69)=0,"✓ No blockers recorded",IF(COUNT('Master Tracker'!AB6:AB400)&gt;10,"+ more blockers — filter Master Tracker by Status = Blocked",""))</f>
        <v>✓ No blockers recorded</v>
      </c>
    </row>
    <row r="72">
      <c r="B72" t="str">
        <v xml:space="preserve">  HOW TO USE</v>
      </c>
    </row>
    <row r="73">
      <c r="B73" t="str">
        <v>1. Update Status, Completion %, Actual Hours and Completion Date only in the Master Tracker (white / yellow cells). Every other sheet updates automatically.</v>
      </c>
    </row>
    <row r="74">
      <c r="B74" t="str">
        <v>2. Columns headed with ƒ (gray cells) are formulas — do not type over them. Yellow cells are editable inputs.</v>
      </c>
    </row>
    <row r="75">
      <c r="B75" t="str">
        <v>3. Overall completion = average of all tasks: Completed = 100%, Not Started = 0%, otherwise the Completion % you enter (capped at 99%).</v>
      </c>
    </row>
    <row r="76">
      <c r="B76" t="str">
        <v>4. Planned % = how far each task is through its Start→Due window on the status date. Change dates in the Master Tracker to re-baseline.</v>
      </c>
    </row>
    <row r="77">
      <c r="B77" t="str">
        <v>5. Source note: built from the project brief. The 13-page Engineering Directive PDF was not available when generated — reconcile acceptance criteria against it (Risk R-01).</v>
      </c>
    </row>
    <row r="78">
      <c r="B78" t="str">
        <v>6. Spare blank rows at the bottom of the Master Tracker are pre-wired for new tasks: give them an ID like P3-17 and a Phase, and they flow into every view.</v>
      </c>
    </row>
  </sheetData>
  <mergeCells count="126">
    <mergeCell ref="B77:Q77"/>
    <mergeCell ref="C68:E68"/>
    <mergeCell ref="O68:Q68"/>
    <mergeCell ref="N34:O34"/>
    <mergeCell ref="K58:Q58"/>
    <mergeCell ref="B13:Q13"/>
    <mergeCell ref="B78:Q78"/>
    <mergeCell ref="C65:E65"/>
    <mergeCell ref="J17:K17"/>
    <mergeCell ref="B76:Q76"/>
    <mergeCell ref="J15:K15"/>
    <mergeCell ref="L62:M62"/>
    <mergeCell ref="B35:H37"/>
    <mergeCell ref="L15:M15"/>
    <mergeCell ref="H12:J12"/>
    <mergeCell ref="O60:Q60"/>
    <mergeCell ref="B33:D33"/>
    <mergeCell ref="L64:M64"/>
    <mergeCell ref="D16:E16"/>
    <mergeCell ref="C66:E66"/>
    <mergeCell ref="P16:Q16"/>
    <mergeCell ref="B32:D32"/>
    <mergeCell ref="O66:Q66"/>
    <mergeCell ref="L63:M63"/>
    <mergeCell ref="B75:Q75"/>
    <mergeCell ref="N33:O33"/>
    <mergeCell ref="B17:C17"/>
    <mergeCell ref="D17:E17"/>
    <mergeCell ref="C67:E67"/>
    <mergeCell ref="O22:P22"/>
    <mergeCell ref="N17:O17"/>
    <mergeCell ref="P17:Q17"/>
    <mergeCell ref="O67:Q67"/>
    <mergeCell ref="C69:E69"/>
    <mergeCell ref="L60:M60"/>
    <mergeCell ref="C62:E62"/>
    <mergeCell ref="O23:P23"/>
    <mergeCell ref="C64:E64"/>
    <mergeCell ref="B73:Q73"/>
    <mergeCell ref="L67:M67"/>
    <mergeCell ref="K70:Q70"/>
    <mergeCell ref="O24:P24"/>
    <mergeCell ref="B74:Q74"/>
    <mergeCell ref="B58:I58"/>
    <mergeCell ref="A1:R1"/>
    <mergeCell ref="N29:Q29"/>
    <mergeCell ref="N12:P12"/>
    <mergeCell ref="L61:M61"/>
    <mergeCell ref="C63:E63"/>
    <mergeCell ref="B19:Q19"/>
    <mergeCell ref="E10:G10"/>
    <mergeCell ref="O63:Q63"/>
    <mergeCell ref="B7:C7"/>
    <mergeCell ref="B9:Q9"/>
    <mergeCell ref="N32:O32"/>
    <mergeCell ref="F7:G7"/>
    <mergeCell ref="E11:G11"/>
    <mergeCell ref="O20:P20"/>
    <mergeCell ref="H16:I16"/>
    <mergeCell ref="J16:K16"/>
    <mergeCell ref="E12:G12"/>
    <mergeCell ref="M3:Q3"/>
    <mergeCell ref="N11:P11"/>
    <mergeCell ref="H10:J10"/>
    <mergeCell ref="B12:D12"/>
    <mergeCell ref="H7:I7"/>
    <mergeCell ref="E3:H3"/>
    <mergeCell ref="N10:P10"/>
    <mergeCell ref="C61:E61"/>
    <mergeCell ref="O64:Q64"/>
    <mergeCell ref="O61:Q61"/>
    <mergeCell ref="F17:G17"/>
    <mergeCell ref="B72:Q72"/>
    <mergeCell ref="H17:I17"/>
    <mergeCell ref="O21:P21"/>
    <mergeCell ref="L69:M69"/>
    <mergeCell ref="C24:E24"/>
    <mergeCell ref="N30:O30"/>
    <mergeCell ref="B15:C15"/>
    <mergeCell ref="L59:M59"/>
    <mergeCell ref="B31:D31"/>
    <mergeCell ref="D15:E15"/>
    <mergeCell ref="C26:E26"/>
    <mergeCell ref="O69:Q69"/>
    <mergeCell ref="N7:O7"/>
    <mergeCell ref="L16:M16"/>
    <mergeCell ref="N16:O16"/>
    <mergeCell ref="C22:E22"/>
    <mergeCell ref="B6:Q6"/>
    <mergeCell ref="K12:M12"/>
    <mergeCell ref="C59:E59"/>
    <mergeCell ref="B10:D10"/>
    <mergeCell ref="O59:Q59"/>
    <mergeCell ref="L68:M68"/>
    <mergeCell ref="F15:G15"/>
    <mergeCell ref="A2:R2"/>
    <mergeCell ref="C23:E23"/>
    <mergeCell ref="O62:Q62"/>
    <mergeCell ref="O26:P26"/>
    <mergeCell ref="B30:D30"/>
    <mergeCell ref="D7:E7"/>
    <mergeCell ref="K10:M10"/>
    <mergeCell ref="O25:P25"/>
    <mergeCell ref="N31:O31"/>
    <mergeCell ref="J29:L29"/>
    <mergeCell ref="N15:O15"/>
    <mergeCell ref="P15:Q15"/>
    <mergeCell ref="H15:I15"/>
    <mergeCell ref="L65:M65"/>
    <mergeCell ref="B29:H29"/>
    <mergeCell ref="C27:F27"/>
    <mergeCell ref="C20:E20"/>
    <mergeCell ref="C25:E25"/>
    <mergeCell ref="K11:M11"/>
    <mergeCell ref="B16:C16"/>
    <mergeCell ref="N35:O35"/>
    <mergeCell ref="L7:M7"/>
    <mergeCell ref="B11:D11"/>
    <mergeCell ref="L17:M17"/>
    <mergeCell ref="O65:Q65"/>
    <mergeCell ref="F16:G16"/>
    <mergeCell ref="B40:Q40"/>
    <mergeCell ref="L66:M66"/>
    <mergeCell ref="C21:E21"/>
    <mergeCell ref="H11:J11"/>
    <mergeCell ref="C60:E60"/>
  </mergeCells>
  <hyperlinks>
    <hyperlink ref="E3" r:id="rId1"/>
    <hyperlink ref="M3" r:id="rId2"/>
    <hyperlink ref="C4" location="'Master Tracker'!A1"/>
    <hyperlink ref="D4" location="'P1 Theme Foundation'!A1"/>
    <hyperlink ref="E4" location="'P2 Homepage &amp; Sections'!A1"/>
    <hyperlink ref="F4" location="'P3 Editorial Templates'!A1"/>
    <hyperlink ref="G4" location="'P4 Issues Archive'!A1"/>
    <hyperlink ref="H4" location="'P5 Auth Subs AdOps'!A1"/>
    <hyperlink ref="I4" location="'P6 Cleanup &amp; Cutover'!A1"/>
    <hyperlink ref="J4" location="'QA &amp; Testing'!A1"/>
    <hyperlink ref="K4" location="'Deployment &amp; Rollback'!A1"/>
    <hyperlink ref="L4" location="'Risks &amp; Blockers'!A1"/>
    <hyperlink ref="M4" location="'Requirement Map'!A1"/>
    <hyperlink ref="C21" location="'P1 Theme Foundation'!A1"/>
    <hyperlink ref="C22" location="'P2 Homepage &amp; Sections'!A1"/>
    <hyperlink ref="C23" location="'P3 Editorial Templates'!A1"/>
    <hyperlink ref="C24" location="'P4 Issues Archive'!A1"/>
    <hyperlink ref="C25" location="'P5 Auth Subs AdOps'!A1"/>
    <hyperlink ref="C26" location="'P6 Cleanup &amp; Cutover'!A1"/>
  </hyperlinks>
  <pageMargins left="0.75" right="0.75" top="1" bottom="1" header="0.5" footer="0.5"/>
  <ignoredErrors>
    <ignoredError numberStoredAsText="1" sqref="A1:T78"/>
  </ignoredErrors>
  <legacyDrawing r:id="rId3"/>
</worksheet>
</file>

<file path=xl/worksheets/sheet2.xml><?xml version="1.0" encoding="utf-8"?>
<worksheet xmlns="http://schemas.openxmlformats.org/spreadsheetml/2006/main" xmlns:r="http://schemas.openxmlformats.org/officeDocument/2006/relationships">
  <dimension ref="A1:AC146"/>
  <sheetViews>
    <sheetView workbookViewId="0" rightToLeft="0"/>
  </sheetViews>
  <sheetData>
    <row r="1">
      <c r="A1" t="str">
        <v xml:space="preserve">  MASTER PROJECT TRACKER  ·  single source of truth</v>
      </c>
    </row>
    <row r="2">
      <c r="A2" t="str">
        <v xml:space="preserve">  Edit tasks here only — dashboard, phase sheets and requirement map recalculate automatically.</v>
      </c>
    </row>
    <row r="3">
      <c r="A3" t="str">
        <v>Legend:</v>
      </c>
      <c r="B3" t="str">
        <v>Editable</v>
      </c>
      <c r="C3" t="str">
        <v>ƒ Calculated</v>
      </c>
      <c r="D3" t="str">
        <v>Status colors →</v>
      </c>
      <c r="E3" t="str">
        <v>Completed  ·  In Progress  ·  In Review / Testing  ·  Blocked / Overdue  ·  Not Started</v>
      </c>
      <c r="G3" t="str">
        <v>← Dashboard</v>
      </c>
      <c r="I3" t="str">
        <v>Staging ↗</v>
      </c>
      <c r="K3" t="str">
        <v>Live ↗</v>
      </c>
    </row>
    <row r="5">
      <c r="A5" t="str">
        <v>Task ID</v>
      </c>
      <c r="B5" t="str">
        <v>Phase ▾</v>
      </c>
      <c r="C5" t="str">
        <v>Module ▾</v>
      </c>
      <c r="D5" t="str">
        <v>Task Name</v>
      </c>
      <c r="E5" t="str">
        <v>Detailed Description</v>
      </c>
      <c r="F5" t="str">
        <v>Priority ▾</v>
      </c>
      <c r="G5" t="str">
        <v>Status ▾</v>
      </c>
      <c r="H5" t="str">
        <v>Start Date ▾</v>
      </c>
      <c r="I5" t="str">
        <v>Due Date ▾</v>
      </c>
      <c r="J5" t="str">
        <v>Completion % ▾</v>
      </c>
      <c r="K5" t="str">
        <v>Dependencies ▾</v>
      </c>
      <c r="L5" t="str">
        <v>Environment ▾</v>
      </c>
      <c r="M5" t="str">
        <v>Related WordPress Files</v>
      </c>
      <c r="N5" t="str">
        <v>Testing Checklist</v>
      </c>
      <c r="O5" t="str">
        <v>Acceptance Criteria</v>
      </c>
      <c r="P5" t="str">
        <v>Blocker / Issue ▾</v>
      </c>
      <c r="Q5" t="str">
        <v>Notes ▾</v>
      </c>
      <c r="R5" t="str">
        <v>Completion Date ▾</v>
      </c>
      <c r="S5" t="str">
        <v>External Requirement ▾</v>
      </c>
      <c r="T5" t="str">
        <v>Test Result ▾</v>
      </c>
      <c r="U5" t="str">
        <v>ƒ Effective %</v>
      </c>
      <c r="V5" t="str">
        <v>ƒ Planned %</v>
      </c>
      <c r="W5" t="str">
        <v>ƒ Days Left</v>
      </c>
      <c r="X5" t="str">
        <v>ƒ Overdue</v>
      </c>
      <c r="Y5" t="str">
        <v>ƒ Dependency Check</v>
      </c>
      <c r="Z5" t="str">
        <v>ƒ Phase Key</v>
      </c>
      <c r="AA5" t="str">
        <v>ƒ Upcoming Key</v>
      </c>
      <c r="AB5" t="str">
        <v>ƒ Blocker Key</v>
      </c>
      <c r="AC5" t="str">
        <v>ƒ Alert</v>
      </c>
    </row>
    <row r="6">
      <c r="A6" t="str">
        <v>P1-01</v>
      </c>
      <c r="B6" t="str">
        <v>Phase 1</v>
      </c>
      <c r="C6" t="str">
        <v>Staging Setup</v>
      </c>
      <c r="D6" t="str">
        <v>Staging environment readiness audit</v>
      </c>
      <c r="E6" t="str">
        <v>Confirm Hostinger staging access (hPanel, SFTP/SSH, phpMyAdmin), PHP 8.1+, WordPress &amp; plugin versions, memory limits; enable WP_DEBUG_LOG; block indexing (noindex + password/IP protection); disable or trap outgoing mail so staging never emails real readers.</v>
      </c>
      <c r="F6" t="str">
        <v>P0</v>
      </c>
      <c r="G6" t="str">
        <v>Completed</v>
      </c>
      <c r="H6">
        <v>46307</v>
      </c>
      <c r="I6">
        <v>46307</v>
      </c>
      <c r="J6">
        <v>0</v>
      </c>
      <c r="K6" t="str">
        <v>P6-02</v>
      </c>
      <c r="L6" t="str">
        <v>Staging (Hostinger)</v>
      </c>
      <c r="M6" t="str">
        <v>wp-config.php, .htaccess</v>
      </c>
      <c r="N6" t="str">
        <v>Log in via hPanel, SFTP and phpMyAdmin; confirm noindex header; send test mail is trapped</v>
      </c>
      <c r="O6" t="str">
        <v>Staging is reachable only by the team, not indexed, debug logging active, versions documented in Notes</v>
      </c>
      <c r="S6" t="str">
        <v>Server Access</v>
      </c>
      <c r="T6" t="str">
        <v>Not Tested</v>
      </c>
      <c r="U6">
        <f>IF(A6="",0,IF(G6="Completed",1,IF(G6="Not Started",0,MIN(0.99,N(J6)))))</f>
        <v>1</v>
      </c>
      <c r="V6">
        <f>IF(OR(A6="",H6="",I6=""),0,MAX(0,MIN(1,(StatusDate-H6+1)/(I6-H6+1))))</f>
        <v>0</v>
      </c>
      <c r="W6" t="str">
        <f>IF(OR(A6="",I6="",G6="Completed"),"",I6-StatusDate)</f>
        <v/>
      </c>
      <c r="X6" t="str">
        <f>IF(A6="","",IF(AND(G6&lt;&gt;"Completed",I6&lt;&gt;"",I6&lt;StatusDate),"OVERDUE",""))</f>
        <v/>
      </c>
      <c r="Y6" t="str">
        <f>IF(OR(A6="",K6=""),"",IF(SUMPRODUCT(($A$6:$A$400&lt;&gt;"")*ISNUMBER(SEARCH($A$6:$A$400,K6))*($G$6:$G$400&lt;&gt;"Completed"))=0,"✓ Ready","⏳ "&amp;SUMPRODUCT(($A$6:$A$400&lt;&gt;"")*ISNUMBER(SEARCH($A$6:$A$400,K6))*($G$6:$G$400&lt;&gt;"Completed"))&amp;" open"))</f>
        <v>⏳ 1 open</v>
      </c>
      <c r="Z6" t="str">
        <f>IF(A6="","",B6&amp;"|"&amp;COUNTIFS($B$6:B6,B6,$A$6:A6,"?*"))</f>
        <v>Phase 1|1</v>
      </c>
      <c r="AA6" t="str">
        <f>IF(OR(A6="",I6="",G6="Completed"),"",IF(I6&gt;=StatusDate,I6+ROW()/100000,""))</f>
        <v/>
      </c>
      <c r="AB6" t="str">
        <f>IF(A6="","",IF(AND(G6&lt;&gt;"Completed",OR(G6="Blocked",AND(TRIM(P6)&lt;&gt;"",P6&lt;&gt;"None"))),ROW(),""))</f>
        <v/>
      </c>
      <c r="AC6" t="str">
        <f>IF(A6="","",IF(G6="Completed","Done",IF(G6="Blocked","Blocked",IF(X6="OVERDUE","Overdue",IF(AND(W6&lt;&gt;"",W6&lt;=2),"Due soon",IF(AND(Y6&lt;&gt;"",LEFT(Y6,1)="⏳",G6&lt;&gt;"Not Started"),"Dependency open",IF(AND(S6&lt;&gt;"None",S6&lt;&gt;"",G6&lt;&gt;"Completed"),"External req.","On track")))))))</f>
        <v>Done</v>
      </c>
    </row>
    <row r="7">
      <c r="A7" t="str">
        <v>P1-02</v>
      </c>
      <c r="B7" t="str">
        <v>Phase 1</v>
      </c>
      <c r="C7" t="str">
        <v>Theme Scaffold</v>
      </c>
      <c r="D7" t="str">
        <v>Create custom theme structure + Git repo</v>
      </c>
      <c r="E7" t="str">
        <v>Create /wp-content/themes/altijara/ with style.css header (Text Domain altijara, RTL), functions.php loader, inc/, template-parts/, assets/{css,js,fonts,img}, languages/. Initialise a remote Git repository for the theme as the backup of all staging work (no local environment).</v>
      </c>
      <c r="F7" t="str">
        <v>P0</v>
      </c>
      <c r="G7" t="str">
        <v>Completed</v>
      </c>
      <c r="H7">
        <v>46307</v>
      </c>
      <c r="I7">
        <v>46307</v>
      </c>
      <c r="J7">
        <v>0</v>
      </c>
      <c r="K7" t="str">
        <v>P1-01</v>
      </c>
      <c r="L7" t="str">
        <v>Staging (Hostinger)</v>
      </c>
      <c r="M7" t="str">
        <v>style.css, functions.php, inc/, template-parts/, assets/</v>
      </c>
      <c r="N7" t="str">
        <v>Theme listed in Appearance &gt; Themes; activates with no PHP notices; first commit pushed</v>
      </c>
      <c r="O7" t="str">
        <v>Folder structure in place, theme activates cleanly on staging, repository holds initial commit</v>
      </c>
      <c r="S7" t="str">
        <v>None</v>
      </c>
      <c r="T7" t="str">
        <v>Not Tested</v>
      </c>
      <c r="U7">
        <f>IF(A7="",0,IF(G7="Completed",1,IF(G7="Not Started",0,MIN(0.99,N(J7)))))</f>
        <v>1</v>
      </c>
      <c r="V7">
        <f>IF(OR(A7="",H7="",I7=""),0,MAX(0,MIN(1,(StatusDate-H7+1)/(I7-H7+1))))</f>
        <v>0</v>
      </c>
      <c r="W7" t="str">
        <f>IF(OR(A7="",I7="",G7="Completed"),"",I7-StatusDate)</f>
        <v/>
      </c>
      <c r="X7" t="str">
        <f>IF(A7="","",IF(AND(G7&lt;&gt;"Completed",I7&lt;&gt;"",I7&lt;StatusDate),"OVERDUE",""))</f>
        <v/>
      </c>
      <c r="Y7" t="str">
        <f>IF(OR(A7="",K7=""),"",IF(SUMPRODUCT(($A$6:$A$400&lt;&gt;"")*ISNUMBER(SEARCH($A$6:$A$400,K7))*($G$6:$G$400&lt;&gt;"Completed"))=0,"✓ Ready","⏳ "&amp;SUMPRODUCT(($A$6:$A$400&lt;&gt;"")*ISNUMBER(SEARCH($A$6:$A$400,K7))*($G$6:$G$400&lt;&gt;"Completed"))&amp;" open"))</f>
        <v>✓ Ready</v>
      </c>
      <c r="Z7" t="str">
        <f>IF(A7="","",B7&amp;"|"&amp;COUNTIFS($B$6:B7,B7,$A$6:A7,"?*"))</f>
        <v>Phase 1|2</v>
      </c>
      <c r="AA7" t="str">
        <f>IF(OR(A7="",I7="",G7="Completed"),"",IF(I7&gt;=StatusDate,I7+ROW()/100000,""))</f>
        <v/>
      </c>
      <c r="AB7" t="str">
        <f>IF(A7="","",IF(AND(G7&lt;&gt;"Completed",OR(G7="Blocked",AND(TRIM(P7)&lt;&gt;"",P7&lt;&gt;"None"))),ROW(),""))</f>
        <v/>
      </c>
      <c r="AC7" t="str">
        <f>IF(A7="","",IF(G7="Completed","Done",IF(G7="Blocked","Blocked",IF(X7="OVERDUE","Overdue",IF(AND(W7&lt;&gt;"",W7&lt;=2),"Due soon",IF(AND(Y7&lt;&gt;"",LEFT(Y7,1)="⏳",G7&lt;&gt;"Not Started"),"Dependency open",IF(AND(S7&lt;&gt;"None",S7&lt;&gt;"",G7&lt;&gt;"Completed"),"External req.","On track")))))))</f>
        <v>Done</v>
      </c>
    </row>
    <row r="8">
      <c r="A8" t="str">
        <v>P1-03</v>
      </c>
      <c r="B8" t="str">
        <v>Phase 1</v>
      </c>
      <c r="C8" t="str">
        <v>Theme Initialization</v>
      </c>
      <c r="D8" t="str">
        <v>Theme setup: supports, menus, image sizes</v>
      </c>
      <c r="E8" t="str">
        <v>inc/setup.php: add_theme_support (title-tag, post-thumbnails, html5, custom-logo, responsive-embeds, align-wide, editor-styles); register_nav_menus (primary, top-bar, footer, mobile); add_image_size (hero, card, thumb, issue-cover); load_theme_textdomain; content_width.</v>
      </c>
      <c r="F8" t="str">
        <v>P0</v>
      </c>
      <c r="G8" t="str">
        <v>Completed</v>
      </c>
      <c r="H8">
        <v>46307</v>
      </c>
      <c r="I8">
        <v>46307</v>
      </c>
      <c r="J8">
        <v>1</v>
      </c>
      <c r="K8" t="str">
        <v>P1-02</v>
      </c>
      <c r="L8" t="str">
        <v>Staging (Hostinger)</v>
      </c>
      <c r="M8" t="str">
        <v>inc/setup.php, functions.php</v>
      </c>
      <c r="N8" t="str">
        <v>Menus appear in Appearance &gt; Menus; new upload generates all image sizes; single &lt;title&gt; tag</v>
      </c>
      <c r="O8" t="str">
        <v>All supports, menus and image sizes registered; no duplicate title tags</v>
      </c>
      <c r="Q8" t="str">
        <v>Done in inc/setup.php + inc/nav.php: supports, menus (primary/top_bar/mobile/footer/footer_quick), image sizes, text domain, issue CPT.</v>
      </c>
      <c r="R8">
        <v>46306</v>
      </c>
      <c r="S8" t="str">
        <v>None</v>
      </c>
      <c r="T8" t="str">
        <v>Not Tested</v>
      </c>
      <c r="U8">
        <f>IF(A8="",0,IF(G8="Completed",1,IF(G8="Not Started",0,MIN(0.99,N(J8)))))</f>
        <v>0</v>
      </c>
      <c r="V8">
        <f>IF(OR(A8="",H8="",I8=""),0,MAX(0,MIN(1,(StatusDate-H8+1)/(I8-H8+1))))</f>
        <v>0</v>
      </c>
      <c r="W8">
        <f>IF(OR(A8="",I8="",G8="Completed"),"",I8-StatusDate)</f>
        <v>1</v>
      </c>
      <c r="X8" t="str">
        <f>IF(A8="","",IF(AND(G8&lt;&gt;"Completed",I8&lt;&gt;"",I8&lt;StatusDate),"OVERDUE",""))</f>
        <v/>
      </c>
      <c r="Y8" t="str">
        <f>IF(OR(A8="",K8=""),"",IF(SUMPRODUCT(($A$6:$A$400&lt;&gt;"")*ISNUMBER(SEARCH($A$6:$A$400,K8))*($G$6:$G$400&lt;&gt;"Completed"))=0,"✓ Ready","⏳ "&amp;SUMPRODUCT(($A$6:$A$400&lt;&gt;"")*ISNUMBER(SEARCH($A$6:$A$400,K8))*($G$6:$G$400&lt;&gt;"Completed"))&amp;" open"))</f>
        <v>✓ Ready</v>
      </c>
      <c r="Z8" t="str">
        <f>IF(A8="","",B8&amp;"|"&amp;COUNTIFS($B$6:B8,B8,$A$6:A8,"?*"))</f>
        <v>Phase 1|3</v>
      </c>
      <c r="AA8">
        <f>IF(OR(A8="",I8="",G8="Completed"),"",IF(I8&gt;=StatusDate,I8+ROW()/100000,""))</f>
        <v>46307.00008</v>
      </c>
      <c r="AB8" t="str">
        <f>IF(A8="","",IF(AND(G8&lt;&gt;"Completed",OR(G8="Blocked",AND(TRIM(P8)&lt;&gt;"",P8&lt;&gt;"None"))),ROW(),""))</f>
        <v/>
      </c>
      <c r="AC8" t="str">
        <f>IF(A8="","",IF(G8="Completed","Done",IF(G8="Blocked","Blocked",IF(X8="OVERDUE","Overdue",IF(AND(W8&lt;&gt;"",W8&lt;=2),"Due soon",IF(AND(Y8&lt;&gt;"",LEFT(Y8,1)="⏳",G8&lt;&gt;"Not Started"),"Dependency open",IF(AND(S8&lt;&gt;"None",S8&lt;&gt;"",G8&lt;&gt;"Completed"),"External req.","On track")))))))</f>
        <v>Due soon</v>
      </c>
    </row>
    <row r="9">
      <c r="A9" t="str">
        <v>P1-04</v>
      </c>
      <c r="B9" t="str">
        <v>Phase 1</v>
      </c>
      <c r="C9" t="str">
        <v>Asset Pipeline</v>
      </c>
      <c r="D9" t="str">
        <v>Asset enqueue, versioning &amp; conditional loading</v>
      </c>
      <c r="E9" t="str">
        <v>inc/enqueue.php: enqueue CSS/JS with filemtime() cache-busting, per-template conditional loading, defer/module attributes, preload primary Arabic font, remove emoji script, no jQuery dependency on the front end.</v>
      </c>
      <c r="F9" t="str">
        <v>P0</v>
      </c>
      <c r="G9" t="str">
        <v>Completed</v>
      </c>
      <c r="H9">
        <v>46307</v>
      </c>
      <c r="I9">
        <v>46307</v>
      </c>
      <c r="J9">
        <v>1</v>
      </c>
      <c r="K9" t="str">
        <v>P1-02</v>
      </c>
      <c r="L9" t="str">
        <v>Staging (Hostinger)</v>
      </c>
      <c r="M9" t="str">
        <v>inc/enqueue.php, assets/css/*, assets/js/*</v>
      </c>
      <c r="N9" t="str">
        <v>View source: versioned URLs, deferred scripts; Network tab shows no 404s and no jQuery on homepage</v>
      </c>
      <c r="O9" t="str">
        <v>All assets versioned and loaded only where needed; zero console errors</v>
      </c>
      <c r="Q9" t="str">
        <v>Done in inc/enqueue.php: CSS/JS enqueue, self-hosted fonts.css, conditional template scripts, defer strategy. No Google Fonts runtime.</v>
      </c>
      <c r="R9">
        <v>46306</v>
      </c>
      <c r="S9" t="str">
        <v>None</v>
      </c>
      <c r="T9" t="str">
        <v>Not Tested</v>
      </c>
      <c r="U9">
        <f>IF(A9="",0,IF(G9="Completed",1,IF(G9="Not Started",0,MIN(0.99,N(J9)))))</f>
        <v>0</v>
      </c>
      <c r="V9">
        <f>IF(OR(A9="",H9="",I9=""),0,MAX(0,MIN(1,(StatusDate-H9+1)/(I9-H9+1))))</f>
        <v>0</v>
      </c>
      <c r="W9">
        <f>IF(OR(A9="",I9="",G9="Completed"),"",I9-StatusDate)</f>
        <v>1</v>
      </c>
      <c r="X9" t="str">
        <f>IF(A9="","",IF(AND(G9&lt;&gt;"Completed",I9&lt;&gt;"",I9&lt;StatusDate),"OVERDUE",""))</f>
        <v/>
      </c>
      <c r="Y9" t="str">
        <f>IF(OR(A9="",K9=""),"",IF(SUMPRODUCT(($A$6:$A$400&lt;&gt;"")*ISNUMBER(SEARCH($A$6:$A$400,K9))*($G$6:$G$400&lt;&gt;"Completed"))=0,"✓ Ready","⏳ "&amp;SUMPRODUCT(($A$6:$A$400&lt;&gt;"")*ISNUMBER(SEARCH($A$6:$A$400,K9))*($G$6:$G$400&lt;&gt;"Completed"))&amp;" open"))</f>
        <v>✓ Ready</v>
      </c>
      <c r="Z9" t="str">
        <f>IF(A9="","",B9&amp;"|"&amp;COUNTIFS($B$6:B9,B9,$A$6:A9,"?*"))</f>
        <v>Phase 1|4</v>
      </c>
      <c r="AA9">
        <f>IF(OR(A9="",I9="",G9="Completed"),"",IF(I9&gt;=StatusDate,I9+ROW()/100000,""))</f>
        <v>46307.00009</v>
      </c>
      <c r="AB9" t="str">
        <f>IF(A9="","",IF(AND(G9&lt;&gt;"Completed",OR(G9="Blocked",AND(TRIM(P9)&lt;&gt;"",P9&lt;&gt;"None"))),ROW(),""))</f>
        <v/>
      </c>
      <c r="AC9" t="str">
        <f>IF(A9="","",IF(G9="Completed","Done",IF(G9="Blocked","Blocked",IF(X9="OVERDUE","Overdue",IF(AND(W9&lt;&gt;"",W9&lt;=2),"Due soon",IF(AND(Y9&lt;&gt;"",LEFT(Y9,1)="⏳",G9&lt;&gt;"Not Started"),"Dependency open",IF(AND(S9&lt;&gt;"None",S9&lt;&gt;"",G9&lt;&gt;"Completed"),"External req.","On track")))))))</f>
        <v>Due soon</v>
      </c>
    </row>
    <row r="10">
      <c r="A10" t="str">
        <v>P1-05</v>
      </c>
      <c r="B10" t="str">
        <v>Phase 1</v>
      </c>
      <c r="C10" t="str">
        <v>PHP Templates</v>
      </c>
      <c r="D10" t="str">
        <v>Base template hierarchy</v>
      </c>
      <c r="E10" t="str">
        <v>Create header.php, footer.php, index.php, front-page.php, single.php, page.php, archive.php, category.php, tag.php, author.php, search.php, 404.php skeletons sharing a common layout wrapper.</v>
      </c>
      <c r="F10" t="str">
        <v>P0</v>
      </c>
      <c r="G10" t="str">
        <v>In Progress</v>
      </c>
      <c r="H10">
        <v>46307</v>
      </c>
      <c r="I10">
        <v>46307</v>
      </c>
      <c r="J10">
        <v>0.75</v>
      </c>
      <c r="K10" t="str">
        <v>P1-03</v>
      </c>
      <c r="L10" t="str">
        <v>Staging (Hostinger)</v>
      </c>
      <c r="M10" t="str">
        <v>header.php, footer.php, index.php, front-page.php, single.php, page.php, archive.php, category.php, tag.php, author.php, search.php, 404.php</v>
      </c>
      <c r="N10" t="str">
        <v>Visit each route type; Query Monitor confirms expected template file</v>
      </c>
      <c r="O10" t="str">
        <v>Every WordPress route resolves to a theme template with header/footer; no fallback errors</v>
      </c>
      <c r="Q10" t="str">
        <v>Present: header/footer/front-page/single/page-*/category/archive-issue/single-issue/404. Still missing or incomplete: tag.php, author.php, search.php polish; category still partly static.</v>
      </c>
      <c r="S10" t="str">
        <v>None</v>
      </c>
      <c r="T10" t="str">
        <v>Not Tested</v>
      </c>
      <c r="U10">
        <f>IF(A10="",0,IF(G10="Completed",1,IF(G10="Not Started",0,MIN(0.99,N(J10)))))</f>
        <v>0</v>
      </c>
      <c r="V10">
        <f>IF(OR(A10="",H10="",I10=""),0,MAX(0,MIN(1,(StatusDate-H10+1)/(I10-H10+1))))</f>
        <v>0</v>
      </c>
      <c r="W10">
        <f>IF(OR(A10="",I10="",G10="Completed"),"",I10-StatusDate)</f>
        <v>1</v>
      </c>
      <c r="X10" t="str">
        <f>IF(A10="","",IF(AND(G10&lt;&gt;"Completed",I10&lt;&gt;"",I10&lt;StatusDate),"OVERDUE",""))</f>
        <v/>
      </c>
      <c r="Y10" t="str">
        <f>IF(OR(A10="",K10=""),"",IF(SUMPRODUCT(($A$6:$A$400&lt;&gt;"")*ISNUMBER(SEARCH($A$6:$A$400,K10))*($G$6:$G$400&lt;&gt;"Completed"))=0,"✓ Ready","⏳ "&amp;SUMPRODUCT(($A$6:$A$400&lt;&gt;"")*ISNUMBER(SEARCH($A$6:$A$400,K10))*($G$6:$G$400&lt;&gt;"Completed"))&amp;" open"))</f>
        <v>⏳ 1 open</v>
      </c>
      <c r="Z10" t="str">
        <f>IF(A10="","",B10&amp;"|"&amp;COUNTIFS($B$6:B10,B10,$A$6:A10,"?*"))</f>
        <v>Phase 1|5</v>
      </c>
      <c r="AA10">
        <f>IF(OR(A10="",I10="",G10="Completed"),"",IF(I10&gt;=StatusDate,I10+ROW()/100000,""))</f>
        <v>46307.0001</v>
      </c>
      <c r="AB10" t="str">
        <f>IF(A10="","",IF(AND(G10&lt;&gt;"Completed",OR(G10="Blocked",AND(TRIM(P10)&lt;&gt;"",P10&lt;&gt;"None"))),ROW(),""))</f>
        <v/>
      </c>
      <c r="AC10" t="str">
        <f>IF(A10="","",IF(G10="Completed","Done",IF(G10="Blocked","Blocked",IF(X10="OVERDUE","Overdue",IF(AND(W10&lt;&gt;"",W10&lt;=2),"Due soon",IF(AND(Y10&lt;&gt;"",LEFT(Y10,1)="⏳",G10&lt;&gt;"Not Started"),"Dependency open",IF(AND(S10&lt;&gt;"None",S10&lt;&gt;"",G10&lt;&gt;"Completed"),"External req.","On track")))))))</f>
        <v>Due soon</v>
      </c>
    </row>
    <row r="11">
      <c r="A11" t="str">
        <v>P1-06</v>
      </c>
      <c r="B11" t="str">
        <v>Phase 1</v>
      </c>
      <c r="C11" t="str">
        <v>Components</v>
      </c>
      <c r="D11" t="str">
        <v>Reusable template-part components</v>
      </c>
      <c r="E11" t="str">
        <v>template-parts/components: card-hero, card-large, card-medium, card-list, card-mini, section-header, post-meta, category-badge, pagination, ad-slot, empty-state. All accept $args via get_template_part() and escape output (esc_html/esc_url/esc_attr).</v>
      </c>
      <c r="F11" t="str">
        <v>P0</v>
      </c>
      <c r="G11" t="str">
        <v>In Progress</v>
      </c>
      <c r="H11">
        <v>46307</v>
      </c>
      <c r="I11">
        <v>46307</v>
      </c>
      <c r="J11">
        <v>0.6</v>
      </c>
      <c r="K11" t="str">
        <v>P1-05</v>
      </c>
      <c r="L11" t="str">
        <v>Staging (Hostinger)</v>
      </c>
      <c r="M11" t="str">
        <v>template-parts/components/*.php</v>
      </c>
      <c r="N11" t="str">
        <v>Render every component on a test page with real posts; test missing image/excerpt; check escaping</v>
      </c>
      <c r="O11" t="str">
        <v>Components reused by homepage and archives with no duplicated markup; all output escaped</v>
      </c>
      <c r="Q11" t="str">
        <v>Reusable home widgets + cards/post-card.php + section-more. Full components suite (card-hero/card-large/ad-slot/empty-state) not yet as separate library.</v>
      </c>
      <c r="S11" t="str">
        <v>None</v>
      </c>
      <c r="T11" t="str">
        <v>Not Tested</v>
      </c>
      <c r="U11">
        <f>IF(A11="",0,IF(G11="Completed",1,IF(G11="Not Started",0,MIN(0.99,N(J11)))))</f>
        <v>0</v>
      </c>
      <c r="V11">
        <f>IF(OR(A11="",H11="",I11=""),0,MAX(0,MIN(1,(StatusDate-H11+1)/(I11-H11+1))))</f>
        <v>0</v>
      </c>
      <c r="W11">
        <f>IF(OR(A11="",I11="",G11="Completed"),"",I11-StatusDate)</f>
        <v>1</v>
      </c>
      <c r="X11" t="str">
        <f>IF(A11="","",IF(AND(G11&lt;&gt;"Completed",I11&lt;&gt;"",I11&lt;StatusDate),"OVERDUE",""))</f>
        <v/>
      </c>
      <c r="Y11" t="str">
        <f>IF(OR(A11="",K11=""),"",IF(SUMPRODUCT(($A$6:$A$400&lt;&gt;"")*ISNUMBER(SEARCH($A$6:$A$400,K11))*($G$6:$G$400&lt;&gt;"Completed"))=0,"✓ Ready","⏳ "&amp;SUMPRODUCT(($A$6:$A$400&lt;&gt;"")*ISNUMBER(SEARCH($A$6:$A$400,K11))*($G$6:$G$400&lt;&gt;"Completed"))&amp;" open"))</f>
        <v>⏳ 1 open</v>
      </c>
      <c r="Z11" t="str">
        <f>IF(A11="","",B11&amp;"|"&amp;COUNTIFS($B$6:B11,B11,$A$6:A11,"?*"))</f>
        <v>Phase 1|6</v>
      </c>
      <c r="AA11">
        <f>IF(OR(A11="",I11="",G11="Completed"),"",IF(I11&gt;=StatusDate,I11+ROW()/100000,""))</f>
        <v>46307.00011</v>
      </c>
      <c r="AB11" t="str">
        <f>IF(A11="","",IF(AND(G11&lt;&gt;"Completed",OR(G11="Blocked",AND(TRIM(P11)&lt;&gt;"",P11&lt;&gt;"None"))),ROW(),""))</f>
        <v/>
      </c>
      <c r="AC11" t="str">
        <f>IF(A11="","",IF(G11="Completed","Done",IF(G11="Blocked","Blocked",IF(X11="OVERDUE","Overdue",IF(AND(W11&lt;&gt;"",W11&lt;=2),"Due soon",IF(AND(Y11&lt;&gt;"",LEFT(Y11,1)="⏳",G11&lt;&gt;"Not Started"),"Dependency open",IF(AND(S11&lt;&gt;"None",S11&lt;&gt;"",G11&lt;&gt;"Completed"),"External req.","On track")))))))</f>
        <v>Due soon</v>
      </c>
    </row>
    <row r="12">
      <c r="A12" t="str">
        <v>P1-07</v>
      </c>
      <c r="B12" t="str">
        <v>Phase 1</v>
      </c>
      <c r="C12" t="str">
        <v>CSS Architecture</v>
      </c>
      <c r="D12" t="str">
        <v>CSS architecture &amp; design tokens</v>
      </c>
      <c r="E12" t="str">
        <v>assets/css: tokens.css (colors, spacing, type scale as custom properties), base, layout, components, utilities, templates. Use CSS logical properties for native RTL. No CSS framework. Minification delegated to LiteSpeed (no local build tooling).</v>
      </c>
      <c r="F12" t="str">
        <v>P0</v>
      </c>
      <c r="G12" t="str">
        <v>Completed</v>
      </c>
      <c r="H12">
        <v>46307</v>
      </c>
      <c r="I12">
        <v>46308</v>
      </c>
      <c r="J12">
        <v>1</v>
      </c>
      <c r="K12" t="str">
        <v>P1-04</v>
      </c>
      <c r="L12" t="str">
        <v>Staging (Hostinger)</v>
      </c>
      <c r="M12" t="str">
        <v>assets/css/tokens.css, base.css, layout.css, components.css, utilities.css</v>
      </c>
      <c r="N12" t="str">
        <v>Inspect computed styles use tokens; RTL correct without separate override file; CSS size checked</v>
      </c>
      <c r="O12" t="str">
        <v>Single token source; consistent styling; total CSS within agreed budget (target &lt; 100 KB uncompressed)</v>
      </c>
      <c r="Q12" t="str">
        <v>Design tokens via :root CSS vars + Admin Design tab (inc/design.php) controlling fonts/colors. Single style.css (prototype preserved) rather than split tokens.css files.</v>
      </c>
      <c r="R12">
        <v>46306</v>
      </c>
      <c r="S12" t="str">
        <v>None</v>
      </c>
      <c r="T12" t="str">
        <v>Not Tested</v>
      </c>
      <c r="U12">
        <f>IF(A12="",0,IF(G12="Completed",1,IF(G12="Not Started",0,MIN(0.99,N(J12)))))</f>
        <v>0</v>
      </c>
      <c r="V12">
        <f>IF(OR(A12="",H12="",I12=""),0,MAX(0,MIN(1,(StatusDate-H12+1)/(I12-H12+1))))</f>
        <v>0</v>
      </c>
      <c r="W12">
        <f>IF(OR(A12="",I12="",G12="Completed"),"",I12-StatusDate)</f>
        <v>2</v>
      </c>
      <c r="X12" t="str">
        <f>IF(A12="","",IF(AND(G12&lt;&gt;"Completed",I12&lt;&gt;"",I12&lt;StatusDate),"OVERDUE",""))</f>
        <v/>
      </c>
      <c r="Y12" t="str">
        <f>IF(OR(A12="",K12=""),"",IF(SUMPRODUCT(($A$6:$A$400&lt;&gt;"")*ISNUMBER(SEARCH($A$6:$A$400,K12))*($G$6:$G$400&lt;&gt;"Completed"))=0,"✓ Ready","⏳ "&amp;SUMPRODUCT(($A$6:$A$400&lt;&gt;"")*ISNUMBER(SEARCH($A$6:$A$400,K12))*($G$6:$G$400&lt;&gt;"Completed"))&amp;" open"))</f>
        <v>⏳ 1 open</v>
      </c>
      <c r="Z12" t="str">
        <f>IF(A12="","",B12&amp;"|"&amp;COUNTIFS($B$6:B12,B12,$A$6:A12,"?*"))</f>
        <v>Phase 1|7</v>
      </c>
      <c r="AA12">
        <f>IF(OR(A12="",I12="",G12="Completed"),"",IF(I12&gt;=StatusDate,I12+ROW()/100000,""))</f>
        <v>46308.00012</v>
      </c>
      <c r="AB12" t="str">
        <f>IF(A12="","",IF(AND(G12&lt;&gt;"Completed",OR(G12="Blocked",AND(TRIM(P12)&lt;&gt;"",P12&lt;&gt;"None"))),ROW(),""))</f>
        <v/>
      </c>
      <c r="AC12" t="str">
        <f>IF(A12="","",IF(G12="Completed","Done",IF(G12="Blocked","Blocked",IF(X12="OVERDUE","Overdue",IF(AND(W12&lt;&gt;"",W12&lt;=2),"Due soon",IF(AND(Y12&lt;&gt;"",LEFT(Y12,1)="⏳",G12&lt;&gt;"Not Started"),"Dependency open",IF(AND(S12&lt;&gt;"None",S12&lt;&gt;"",G12&lt;&gt;"Completed"),"External req.","On track")))))))</f>
        <v>Due soon</v>
      </c>
    </row>
    <row r="13">
      <c r="A13" t="str">
        <v>P1-08</v>
      </c>
      <c r="B13" t="str">
        <v>Phase 1</v>
      </c>
      <c r="C13" t="str">
        <v>Vanilla JS</v>
      </c>
      <c r="D13" t="str">
        <v>Vanilla JS module architecture</v>
      </c>
      <c r="E13" t="str">
        <v>assets/js/main.js bootstraps data-attribute driven modules (nav, drawer, search overlay, sticky header); IntersectionObserver utilities; respects prefers-reduced-motion; no jQuery.</v>
      </c>
      <c r="F13" t="str">
        <v>P0</v>
      </c>
      <c r="G13" t="str">
        <v>In Progress</v>
      </c>
      <c r="H13">
        <v>46308</v>
      </c>
      <c r="I13">
        <v>46308</v>
      </c>
      <c r="J13">
        <v>0.55</v>
      </c>
      <c r="K13" t="str">
        <v>P1-04</v>
      </c>
      <c r="L13" t="str">
        <v>Staging (Hostinger)</v>
      </c>
      <c r="M13" t="str">
        <v>assets/js/main.js, assets/js/modules/*.js</v>
      </c>
      <c r="N13" t="str">
        <v>Console clean on Chrome &amp; Safari; page usable with JS disabled</v>
      </c>
      <c r="O13" t="str">
        <v>All interactions implemented in Vanilla JS; zero console errors; scripts deferred</v>
      </c>
      <c r="Q13" t="str">
        <v>Vanilla JS: site-chrome.js (nav/drawer/search), app.js (slider), admin JS. Not yet fully split into assets/js/modules/* architecture; homepage REST refill disabled when SSR.</v>
      </c>
      <c r="S13" t="str">
        <v>None</v>
      </c>
      <c r="T13" t="str">
        <v>Not Tested</v>
      </c>
      <c r="U13">
        <f>IF(A13="",0,IF(G13="Completed",1,IF(G13="Not Started",0,MIN(0.99,N(J13)))))</f>
        <v>0</v>
      </c>
      <c r="V13">
        <f>IF(OR(A13="",H13="",I13=""),0,MAX(0,MIN(1,(StatusDate-H13+1)/(I13-H13+1))))</f>
        <v>0</v>
      </c>
      <c r="W13">
        <f>IF(OR(A13="",I13="",G13="Completed"),"",I13-StatusDate)</f>
        <v>2</v>
      </c>
      <c r="X13" t="str">
        <f>IF(A13="","",IF(AND(G13&lt;&gt;"Completed",I13&lt;&gt;"",I13&lt;StatusDate),"OVERDUE",""))</f>
        <v/>
      </c>
      <c r="Y13" t="str">
        <f>IF(OR(A13="",K13=""),"",IF(SUMPRODUCT(($A$6:$A$400&lt;&gt;"")*ISNUMBER(SEARCH($A$6:$A$400,K13))*($G$6:$G$400&lt;&gt;"Completed"))=0,"✓ Ready","⏳ "&amp;SUMPRODUCT(($A$6:$A$400&lt;&gt;"")*ISNUMBER(SEARCH($A$6:$A$400,K13))*($G$6:$G$400&lt;&gt;"Completed"))&amp;" open"))</f>
        <v>⏳ 1 open</v>
      </c>
      <c r="Z13" t="str">
        <f>IF(A13="","",B13&amp;"|"&amp;COUNTIFS($B$6:B13,B13,$A$6:A13,"?*"))</f>
        <v>Phase 1|8</v>
      </c>
      <c r="AA13">
        <f>IF(OR(A13="",I13="",G13="Completed"),"",IF(I13&gt;=StatusDate,I13+ROW()/100000,""))</f>
        <v>46308.00013</v>
      </c>
      <c r="AB13" t="str">
        <f>IF(A13="","",IF(AND(G13&lt;&gt;"Completed",OR(G13="Blocked",AND(TRIM(P13)&lt;&gt;"",P13&lt;&gt;"None"))),ROW(),""))</f>
        <v/>
      </c>
      <c r="AC13" t="str">
        <f>IF(A13="","",IF(G13="Completed","Done",IF(G13="Blocked","Blocked",IF(X13="OVERDUE","Overdue",IF(AND(W13&lt;&gt;"",W13&lt;=2),"Due soon",IF(AND(Y13&lt;&gt;"",LEFT(Y13,1)="⏳",G13&lt;&gt;"Not Started"),"Dependency open",IF(AND(S13&lt;&gt;"None",S13&lt;&gt;"",G13&lt;&gt;"Completed"),"External req.","On track")))))))</f>
        <v>Due soon</v>
      </c>
    </row>
    <row r="14">
      <c r="A14" t="str">
        <v>P1-09</v>
      </c>
      <c r="B14" t="str">
        <v>Phase 1</v>
      </c>
      <c r="C14" t="str">
        <v>RTL Typography</v>
      </c>
      <c r="D14" t="str">
        <v>RTL layout &amp; Arabic typography</v>
      </c>
      <c r="E14" t="str">
        <v>html dir='rtl' lang='ar'; self-hosted Arabic WOFF2 fonts (font-display: swap, subset); Arabic-appropriate line-height &amp; type scale; bidi isolation for mixed Arabic/English strings; numerals policy.</v>
      </c>
      <c r="F14" t="str">
        <v>P0</v>
      </c>
      <c r="G14" t="str">
        <v>Completed</v>
      </c>
      <c r="H14">
        <v>46308</v>
      </c>
      <c r="I14">
        <v>46308</v>
      </c>
      <c r="J14">
        <v>1</v>
      </c>
      <c r="K14" t="str">
        <v>P1-07</v>
      </c>
      <c r="L14" t="str">
        <v>Staging (Hostinger)</v>
      </c>
      <c r="M14" t="str">
        <v>assets/fonts/*, assets/css/base.css, header.php</v>
      </c>
      <c r="N14" t="str">
        <v>Headlines/body render in Arabic font on iOS, Android, desktop; no invisible text flash; mixed strings align</v>
      </c>
      <c r="O14" t="str">
        <v>Correct RTL direction site-wide; fonts self-hosted; no layout shift from font swap</v>
      </c>
      <c r="Q14" t="str">
        <v>html dir=rtl; IBM Plex Sans Arabic + Playfair Display self-hosted WOFF2 under assets/fonts/; controllable from Design settings.</v>
      </c>
      <c r="R14">
        <v>46306</v>
      </c>
      <c r="S14" t="str">
        <v>None</v>
      </c>
      <c r="T14" t="str">
        <v>Not Tested</v>
      </c>
      <c r="U14">
        <f>IF(A14="",0,IF(G14="Completed",1,IF(G14="Not Started",0,MIN(0.99,N(J14)))))</f>
        <v>0</v>
      </c>
      <c r="V14">
        <f>IF(OR(A14="",H14="",I14=""),0,MAX(0,MIN(1,(StatusDate-H14+1)/(I14-H14+1))))</f>
        <v>0</v>
      </c>
      <c r="W14">
        <f>IF(OR(A14="",I14="",G14="Completed"),"",I14-StatusDate)</f>
        <v>2</v>
      </c>
      <c r="X14" t="str">
        <f>IF(A14="","",IF(AND(G14&lt;&gt;"Completed",I14&lt;&gt;"",I14&lt;StatusDate),"OVERDUE",""))</f>
        <v/>
      </c>
      <c r="Y14" t="str">
        <f>IF(OR(A14="",K14=""),"",IF(SUMPRODUCT(($A$6:$A$400&lt;&gt;"")*ISNUMBER(SEARCH($A$6:$A$400,K14))*($G$6:$G$400&lt;&gt;"Completed"))=0,"✓ Ready","⏳ "&amp;SUMPRODUCT(($A$6:$A$400&lt;&gt;"")*ISNUMBER(SEARCH($A$6:$A$400,K14))*($G$6:$G$400&lt;&gt;"Completed"))&amp;" open"))</f>
        <v>⏳ 1 open</v>
      </c>
      <c r="Z14" t="str">
        <f>IF(A14="","",B14&amp;"|"&amp;COUNTIFS($B$6:B14,B14,$A$6:A14,"?*"))</f>
        <v>Phase 1|9</v>
      </c>
      <c r="AA14">
        <f>IF(OR(A14="",I14="",G14="Completed"),"",IF(I14&gt;=StatusDate,I14+ROW()/100000,""))</f>
        <v>46308.00014</v>
      </c>
      <c r="AB14" t="str">
        <f>IF(A14="","",IF(AND(G14&lt;&gt;"Completed",OR(G14="Blocked",AND(TRIM(P14)&lt;&gt;"",P14&lt;&gt;"None"))),ROW(),""))</f>
        <v/>
      </c>
      <c r="AC14" t="str">
        <f>IF(A14="","",IF(G14="Completed","Done",IF(G14="Blocked","Blocked",IF(X14="OVERDUE","Overdue",IF(AND(W14&lt;&gt;"",W14&lt;=2),"Due soon",IF(AND(Y14&lt;&gt;"",LEFT(Y14,1)="⏳",G14&lt;&gt;"Not Started"),"Dependency open",IF(AND(S14&lt;&gt;"None",S14&lt;&gt;"",G14&lt;&gt;"Completed"),"External req.","On track")))))))</f>
        <v>Due soon</v>
      </c>
    </row>
    <row r="15">
      <c r="A15" t="str">
        <v>P1-10</v>
      </c>
      <c r="B15" t="str">
        <v>Phase 1</v>
      </c>
      <c r="C15" t="str">
        <v>Responsive Design</v>
      </c>
      <c r="D15" t="str">
        <v>Responsive grid &amp; breakpoints</v>
      </c>
      <c r="E15" t="str">
        <v>Mobile-first container and CSS grid; breakpoints 360/576/768/1024/1280+; fluid type with clamp(); responsive images with srcset/sizes.</v>
      </c>
      <c r="F15" t="str">
        <v>P0</v>
      </c>
      <c r="G15" t="str">
        <v>Completed</v>
      </c>
      <c r="H15">
        <v>46308</v>
      </c>
      <c r="I15">
        <v>46308</v>
      </c>
      <c r="J15">
        <v>1</v>
      </c>
      <c r="K15" t="str">
        <v>P1-07</v>
      </c>
      <c r="L15" t="str">
        <v>Staging (Hostinger)</v>
      </c>
      <c r="M15" t="str">
        <v>assets/css/layout.css</v>
      </c>
      <c r="N15" t="str">
        <v>Test 360, 414, 768, 1024, 1440 px widths; no horizontal scroll</v>
      </c>
      <c r="O15" t="str">
        <v>All layouts usable at 360 px; no overflow; correctly sized images</v>
      </c>
      <c r="Q15" t="str">
        <v>Existing prototype responsive CSS preserved (mobile-first breakpoints). Needs formal device QA sign-off on staging.</v>
      </c>
      <c r="R15">
        <v>46306</v>
      </c>
      <c r="S15" t="str">
        <v>None</v>
      </c>
      <c r="T15" t="str">
        <v>Not Tested</v>
      </c>
      <c r="U15">
        <f>IF(A15="",0,IF(G15="Completed",1,IF(G15="Not Started",0,MIN(0.99,N(J15)))))</f>
        <v>0</v>
      </c>
      <c r="V15">
        <f>IF(OR(A15="",H15="",I15=""),0,MAX(0,MIN(1,(StatusDate-H15+1)/(I15-H15+1))))</f>
        <v>0</v>
      </c>
      <c r="W15">
        <f>IF(OR(A15="",I15="",G15="Completed"),"",I15-StatusDate)</f>
        <v>2</v>
      </c>
      <c r="X15" t="str">
        <f>IF(A15="","",IF(AND(G15&lt;&gt;"Completed",I15&lt;&gt;"",I15&lt;StatusDate),"OVERDUE",""))</f>
        <v/>
      </c>
      <c r="Y15" t="str">
        <f>IF(OR(A15="",K15=""),"",IF(SUMPRODUCT(($A$6:$A$400&lt;&gt;"")*ISNUMBER(SEARCH($A$6:$A$400,K15))*($G$6:$G$400&lt;&gt;"Completed"))=0,"✓ Ready","⏳ "&amp;SUMPRODUCT(($A$6:$A$400&lt;&gt;"")*ISNUMBER(SEARCH($A$6:$A$400,K15))*($G$6:$G$400&lt;&gt;"Completed"))&amp;" open"))</f>
        <v>⏳ 1 open</v>
      </c>
      <c r="Z15" t="str">
        <f>IF(A15="","",B15&amp;"|"&amp;COUNTIFS($B$6:B15,B15,$A$6:A15,"?*"))</f>
        <v>Phase 1|10</v>
      </c>
      <c r="AA15">
        <f>IF(OR(A15="",I15="",G15="Completed"),"",IF(I15&gt;=StatusDate,I15+ROW()/100000,""))</f>
        <v>46308.00015</v>
      </c>
      <c r="AB15" t="str">
        <f>IF(A15="","",IF(AND(G15&lt;&gt;"Completed",OR(G15="Blocked",AND(TRIM(P15)&lt;&gt;"",P15&lt;&gt;"None"))),ROW(),""))</f>
        <v/>
      </c>
      <c r="AC15" t="str">
        <f>IF(A15="","",IF(G15="Completed","Done",IF(G15="Blocked","Blocked",IF(X15="OVERDUE","Overdue",IF(AND(W15&lt;&gt;"",W15&lt;=2),"Due soon",IF(AND(Y15&lt;&gt;"",LEFT(Y15,1)="⏳",G15&lt;&gt;"Not Started"),"Dependency open",IF(AND(S15&lt;&gt;"None",S15&lt;&gt;"",G15&lt;&gt;"Completed"),"External req.","On track")))))))</f>
        <v>Due soon</v>
      </c>
    </row>
    <row r="16">
      <c r="A16" t="str">
        <v>P1-11</v>
      </c>
      <c r="B16" t="str">
        <v>Phase 1</v>
      </c>
      <c r="C16" t="str">
        <v>Header &amp; Navigation</v>
      </c>
      <c r="D16" t="str">
        <v>Header, navigation, mobile drawer &amp; search</v>
      </c>
      <c r="E16" t="str">
        <v>Top bar with Arabic date, custom logo, primary menu with dropdowns, off-canvas mobile drawer, search overlay, sticky header; keyboard and screen-reader accessible.</v>
      </c>
      <c r="F16" t="str">
        <v>P0</v>
      </c>
      <c r="G16" t="str">
        <v>Completed</v>
      </c>
      <c r="H16">
        <v>46308</v>
      </c>
      <c r="I16">
        <v>46309</v>
      </c>
      <c r="J16">
        <v>1</v>
      </c>
      <c r="K16" t="str">
        <v>P1-06, P1-08, P1-15</v>
      </c>
      <c r="L16" t="str">
        <v>Staging (Hostinger)</v>
      </c>
      <c r="M16" t="str">
        <v>header.php, template-parts/header/*.php, assets/js/modules/nav.js</v>
      </c>
      <c r="N16" t="str">
        <v>Drawer opens/closes, Esc closes, focus trapped; search submits; menu edited in WP admin updates header</v>
      </c>
      <c r="O16" t="str">
        <v>Navigation works on touch and keyboard; fully managed from WordPress menus</v>
      </c>
      <c r="Q16" t="str">
        <v>Header fully WP-driven: wp_nav_menu locations, mobile drawer, search overlay, logos/ads/CTAs via Altijara Theme → Header Builder. Activation seeds default menus.</v>
      </c>
      <c r="R16">
        <v>46306</v>
      </c>
      <c r="S16" t="str">
        <v>None</v>
      </c>
      <c r="T16" t="str">
        <v>Not Tested</v>
      </c>
      <c r="U16">
        <f>IF(A16="",0,IF(G16="Completed",1,IF(G16="Not Started",0,MIN(0.99,N(J16)))))</f>
        <v>0</v>
      </c>
      <c r="V16">
        <f>IF(OR(A16="",H16="",I16=""),0,MAX(0,MIN(1,(StatusDate-H16+1)/(I16-H16+1))))</f>
        <v>0</v>
      </c>
      <c r="W16">
        <f>IF(OR(A16="",I16="",G16="Completed"),"",I16-StatusDate)</f>
        <v>3</v>
      </c>
      <c r="X16" t="str">
        <f>IF(A16="","",IF(AND(G16&lt;&gt;"Completed",I16&lt;&gt;"",I16&lt;StatusDate),"OVERDUE",""))</f>
        <v/>
      </c>
      <c r="Y16" t="str">
        <f>IF(OR(A16="",K16=""),"",IF(SUMPRODUCT(($A$6:$A$400&lt;&gt;"")*ISNUMBER(SEARCH($A$6:$A$400,K16))*($G$6:$G$400&lt;&gt;"Completed"))=0,"✓ Ready","⏳ "&amp;SUMPRODUCT(($A$6:$A$400&lt;&gt;"")*ISNUMBER(SEARCH($A$6:$A$400,K16))*($G$6:$G$400&lt;&gt;"Completed"))&amp;" open"))</f>
        <v>⏳ 3 open</v>
      </c>
      <c r="Z16" t="str">
        <f>IF(A16="","",B16&amp;"|"&amp;COUNTIFS($B$6:B16,B16,$A$6:A16,"?*"))</f>
        <v>Phase 1|11</v>
      </c>
      <c r="AA16">
        <f>IF(OR(A16="",I16="",G16="Completed"),"",IF(I16&gt;=StatusDate,I16+ROW()/100000,""))</f>
        <v>46309.00016</v>
      </c>
      <c r="AB16" t="str">
        <f>IF(A16="","",IF(AND(G16&lt;&gt;"Completed",OR(G16="Blocked",AND(TRIM(P16)&lt;&gt;"",P16&lt;&gt;"None"))),ROW(),""))</f>
        <v/>
      </c>
      <c r="AC16" t="str">
        <f>IF(A16="","",IF(G16="Completed","Done",IF(G16="Blocked","Blocked",IF(X16="OVERDUE","Overdue",IF(AND(W16&lt;&gt;"",W16&lt;=2),"Due soon",IF(AND(Y16&lt;&gt;"",LEFT(Y16,1)="⏳",G16&lt;&gt;"Not Started"),"Dependency open",IF(AND(S16&lt;&gt;"None",S16&lt;&gt;"",G16&lt;&gt;"Completed"),"External req.","On track")))))))</f>
        <v>On track</v>
      </c>
    </row>
    <row r="17">
      <c r="A17" t="str">
        <v>P1-12</v>
      </c>
      <c r="B17" t="str">
        <v>Phase 1</v>
      </c>
      <c r="C17" t="str">
        <v>Footer</v>
      </c>
      <c r="D17" t="str">
        <v>Footer with editable menus &amp; social links</v>
      </c>
      <c r="E17" t="str">
        <v>Footer menus, social links via Customizer, newsletter/CTA slot, copyright, back-to-top.</v>
      </c>
      <c r="F17" t="str">
        <v>P1</v>
      </c>
      <c r="G17" t="str">
        <v>Completed</v>
      </c>
      <c r="H17">
        <v>46309</v>
      </c>
      <c r="I17">
        <v>46309</v>
      </c>
      <c r="J17">
        <v>1</v>
      </c>
      <c r="K17" t="str">
        <v>P1-06</v>
      </c>
      <c r="L17" t="str">
        <v>Staging (Hostinger)</v>
      </c>
      <c r="M17" t="str">
        <v>footer.php, template-parts/footer/*.php</v>
      </c>
      <c r="N17" t="str">
        <v>All links resolve; social URLs editable in Customizer</v>
      </c>
      <c r="O17" t="str">
        <v>Footer content editable without code</v>
      </c>
      <c r="Q17" t="str">
        <v>Footer Builder + social manager + WP menus (footer / footer_quick). No hardcoded chrome content.</v>
      </c>
      <c r="R17">
        <v>46306</v>
      </c>
      <c r="S17" t="str">
        <v>None</v>
      </c>
      <c r="T17" t="str">
        <v>Not Tested</v>
      </c>
      <c r="U17">
        <f>IF(A17="",0,IF(G17="Completed",1,IF(G17="Not Started",0,MIN(0.99,N(J17)))))</f>
        <v>0</v>
      </c>
      <c r="V17">
        <f>IF(OR(A17="",H17="",I17=""),0,MAX(0,MIN(1,(StatusDate-H17+1)/(I17-H17+1))))</f>
        <v>0</v>
      </c>
      <c r="W17">
        <f>IF(OR(A17="",I17="",G17="Completed"),"",I17-StatusDate)</f>
        <v>3</v>
      </c>
      <c r="X17" t="str">
        <f>IF(A17="","",IF(AND(G17&lt;&gt;"Completed",I17&lt;&gt;"",I17&lt;StatusDate),"OVERDUE",""))</f>
        <v/>
      </c>
      <c r="Y17" t="str">
        <f>IF(OR(A17="",K17=""),"",IF(SUMPRODUCT(($A$6:$A$400&lt;&gt;"")*ISNUMBER(SEARCH($A$6:$A$400,K17))*($G$6:$G$400&lt;&gt;"Completed"))=0,"✓ Ready","⏳ "&amp;SUMPRODUCT(($A$6:$A$400&lt;&gt;"")*ISNUMBER(SEARCH($A$6:$A$400,K17))*($G$6:$G$400&lt;&gt;"Completed"))&amp;" open"))</f>
        <v>⏳ 1 open</v>
      </c>
      <c r="Z17" t="str">
        <f>IF(A17="","",B17&amp;"|"&amp;COUNTIFS($B$6:B17,B17,$A$6:A17,"?*"))</f>
        <v>Phase 1|12</v>
      </c>
      <c r="AA17">
        <f>IF(OR(A17="",I17="",G17="Completed"),"",IF(I17&gt;=StatusDate,I17+ROW()/100000,""))</f>
        <v>46309.00017</v>
      </c>
      <c r="AB17" t="str">
        <f>IF(A17="","",IF(AND(G17&lt;&gt;"Completed",OR(G17="Blocked",AND(TRIM(P17)&lt;&gt;"",P17&lt;&gt;"None"))),ROW(),""))</f>
        <v/>
      </c>
      <c r="AC17" t="str">
        <f>IF(A17="","",IF(G17="Completed","Done",IF(G17="Blocked","Blocked",IF(X17="OVERDUE","Overdue",IF(AND(W17&lt;&gt;"",W17&lt;=2),"Due soon",IF(AND(Y17&lt;&gt;"",LEFT(Y17,1)="⏳",G17&lt;&gt;"Not Started"),"Dependency open",IF(AND(S17&lt;&gt;"None",S17&lt;&gt;"",G17&lt;&gt;"Completed"),"External req.","On track")))))))</f>
        <v>On track</v>
      </c>
    </row>
    <row r="18">
      <c r="A18" t="str">
        <v>P1-13</v>
      </c>
      <c r="B18" t="str">
        <v>Phase 1</v>
      </c>
      <c r="C18" t="str">
        <v>WordPress Integration</v>
      </c>
      <c r="D18" t="str">
        <v>Core WordPress integration &amp; editor styles</v>
      </c>
      <c r="E18" t="str">
        <v>wp_head/wp_body_open/wp_footer, body_class/post_class, widget areas (article sidebar, archive sidebar, footer), skip-link, editor-style.css so Gutenberg preview matches front end, oEmbed styling.</v>
      </c>
      <c r="F18" t="str">
        <v>P0</v>
      </c>
      <c r="G18" t="str">
        <v>In Progress</v>
      </c>
      <c r="H18">
        <v>46309</v>
      </c>
      <c r="I18">
        <v>46309</v>
      </c>
      <c r="J18">
        <v>0.5</v>
      </c>
      <c r="K18" t="str">
        <v>P1-05</v>
      </c>
      <c r="L18" t="str">
        <v>Staging (Hostinger)</v>
      </c>
      <c r="M18" t="str">
        <v>functions.php, inc/widgets.php, assets/css/editor-style.css</v>
      </c>
      <c r="N18" t="str">
        <v>SEO and LiteSpeed plugins inject head tags; widgets render; editor preview matches front end</v>
      </c>
      <c r="O18" t="str">
        <v>Theme compatible with WordPress core and active plugins; no missing hooks</v>
      </c>
      <c r="Q18" t="str">
        <v>Core hooks (wp_head/body_open/footer), body_class, custom-logo. Widget areas + editor-style.css still pending.</v>
      </c>
      <c r="S18" t="str">
        <v>None</v>
      </c>
      <c r="T18" t="str">
        <v>Not Tested</v>
      </c>
      <c r="U18">
        <f>IF(A18="",0,IF(G18="Completed",1,IF(G18="Not Started",0,MIN(0.99,N(J18)))))</f>
        <v>0</v>
      </c>
      <c r="V18">
        <f>IF(OR(A18="",H18="",I18=""),0,MAX(0,MIN(1,(StatusDate-H18+1)/(I18-H18+1))))</f>
        <v>0</v>
      </c>
      <c r="W18">
        <f>IF(OR(A18="",I18="",G18="Completed"),"",I18-StatusDate)</f>
        <v>3</v>
      </c>
      <c r="X18" t="str">
        <f>IF(A18="","",IF(AND(G18&lt;&gt;"Completed",I18&lt;&gt;"",I18&lt;StatusDate),"OVERDUE",""))</f>
        <v/>
      </c>
      <c r="Y18" t="str">
        <f>IF(OR(A18="",K18=""),"",IF(SUMPRODUCT(($A$6:$A$400&lt;&gt;"")*ISNUMBER(SEARCH($A$6:$A$400,K18))*($G$6:$G$400&lt;&gt;"Completed"))=0,"✓ Ready","⏳ "&amp;SUMPRODUCT(($A$6:$A$400&lt;&gt;"")*ISNUMBER(SEARCH($A$6:$A$400,K18))*($G$6:$G$400&lt;&gt;"Completed"))&amp;" open"))</f>
        <v>⏳ 1 open</v>
      </c>
      <c r="Z18" t="str">
        <f>IF(A18="","",B18&amp;"|"&amp;COUNTIFS($B$6:B18,B18,$A$6:A18,"?*"))</f>
        <v>Phase 1|13</v>
      </c>
      <c r="AA18">
        <f>IF(OR(A18="",I18="",G18="Completed"),"",IF(I18&gt;=StatusDate,I18+ROW()/100000,""))</f>
        <v>46309.00018</v>
      </c>
      <c r="AB18" t="str">
        <f>IF(A18="","",IF(AND(G18&lt;&gt;"Completed",OR(G18="Blocked",AND(TRIM(P18)&lt;&gt;"",P18&lt;&gt;"None"))),ROW(),""))</f>
        <v/>
      </c>
      <c r="AC18" t="str">
        <f>IF(A18="","",IF(G18="Completed","Done",IF(G18="Blocked","Blocked",IF(X18="OVERDUE","Overdue",IF(AND(W18&lt;&gt;"",W18&lt;=2),"Due soon",IF(AND(Y18&lt;&gt;"",LEFT(Y18,1)="⏳",G18&lt;&gt;"Not Started"),"Dependency open",IF(AND(S18&lt;&gt;"None",S18&lt;&gt;"",G18&lt;&gt;"Completed"),"External req.","On track")))))))</f>
        <v>On track</v>
      </c>
    </row>
    <row r="19">
      <c r="A19" t="str">
        <v>P1-14</v>
      </c>
      <c r="B19" t="str">
        <v>Phase 1</v>
      </c>
      <c r="C19" t="str">
        <v>Query Caching</v>
      </c>
      <c r="D19" t="str">
        <v>Query caching layer with auto-invalidation</v>
      </c>
      <c r="E19" t="str">
        <v>inc/cache.php: altijara_cached_query($key,$args,$ttl) using transients/object cache with versioned namespaced keys; invalidation on save_post, transition_post_status, delete_post and term edits; no_found_rows/fields optimizations.</v>
      </c>
      <c r="F19" t="str">
        <v>P0</v>
      </c>
      <c r="G19" t="str">
        <v>Completed</v>
      </c>
      <c r="H19">
        <v>46309</v>
      </c>
      <c r="I19">
        <v>46309</v>
      </c>
      <c r="J19">
        <v>1</v>
      </c>
      <c r="K19" t="str">
        <v>P1-03</v>
      </c>
      <c r="L19" t="str">
        <v>Staging (Hostinger)</v>
      </c>
      <c r="M19" t="str">
        <v>inc/cache.php</v>
      </c>
      <c r="N19" t="str">
        <v>Query Monitor shows reduced queries on warm load; publishing a post refreshes affected sections immediately</v>
      </c>
      <c r="O19" t="str">
        <v>Homepage warm-cache DB queries within target (≤ 40); no stale content after publish</v>
      </c>
      <c r="Q19" t="str">
        <v>inc/caching.php + query engine: transient cache, purge on save / admin purge button.</v>
      </c>
      <c r="R19">
        <v>46306</v>
      </c>
      <c r="S19" t="str">
        <v>None</v>
      </c>
      <c r="T19" t="str">
        <v>Not Tested</v>
      </c>
      <c r="U19">
        <f>IF(A19="",0,IF(G19="Completed",1,IF(G19="Not Started",0,MIN(0.99,N(J19)))))</f>
        <v>0</v>
      </c>
      <c r="V19">
        <f>IF(OR(A19="",H19="",I19=""),0,MAX(0,MIN(1,(StatusDate-H19+1)/(I19-H19+1))))</f>
        <v>0</v>
      </c>
      <c r="W19">
        <f>IF(OR(A19="",I19="",G19="Completed"),"",I19-StatusDate)</f>
        <v>3</v>
      </c>
      <c r="X19" t="str">
        <f>IF(A19="","",IF(AND(G19&lt;&gt;"Completed",I19&lt;&gt;"",I19&lt;StatusDate),"OVERDUE",""))</f>
        <v/>
      </c>
      <c r="Y19" t="str">
        <f>IF(OR(A19="",K19=""),"",IF(SUMPRODUCT(($A$6:$A$400&lt;&gt;"")*ISNUMBER(SEARCH($A$6:$A$400,K19))*($G$6:$G$400&lt;&gt;"Completed"))=0,"✓ Ready","⏳ "&amp;SUMPRODUCT(($A$6:$A$400&lt;&gt;"")*ISNUMBER(SEARCH($A$6:$A$400,K19))*($G$6:$G$400&lt;&gt;"Completed"))&amp;" open"))</f>
        <v>⏳ 1 open</v>
      </c>
      <c r="Z19" t="str">
        <f>IF(A19="","",B19&amp;"|"&amp;COUNTIFS($B$6:B19,B19,$A$6:A19,"?*"))</f>
        <v>Phase 1|14</v>
      </c>
      <c r="AA19">
        <f>IF(OR(A19="",I19="",G19="Completed"),"",IF(I19&gt;=StatusDate,I19+ROW()/100000,""))</f>
        <v>46309.00019</v>
      </c>
      <c r="AB19" t="str">
        <f>IF(A19="","",IF(AND(G19&lt;&gt;"Completed",OR(G19="Blocked",AND(TRIM(P19)&lt;&gt;"",P19&lt;&gt;"None"))),ROW(),""))</f>
        <v/>
      </c>
      <c r="AC19" t="str">
        <f>IF(A19="","",IF(G19="Completed","Done",IF(G19="Blocked","Blocked",IF(X19="OVERDUE","Overdue",IF(AND(W19&lt;&gt;"",W19&lt;=2),"Due soon",IF(AND(Y19&lt;&gt;"",LEFT(Y19,1)="⏳",G19&lt;&gt;"Not Started"),"Dependency open",IF(AND(S19&lt;&gt;"None",S19&lt;&gt;"",G19&lt;&gt;"Completed"),"External req.","On track")))))))</f>
        <v>On track</v>
      </c>
    </row>
    <row r="20">
      <c r="A20" t="str">
        <v>P1-15</v>
      </c>
      <c r="B20" t="str">
        <v>Phase 1</v>
      </c>
      <c r="C20" t="str">
        <v>Date Helpers</v>
      </c>
      <c r="D20" t="str">
        <v>Arabic date, relative time &amp; reading-time helpers</v>
      </c>
      <c r="E20" t="str">
        <v>inc/helpers-date.php: Arabic month/day names, formatted dates, relative time (e.g. 'منذ ساعتين'), optional Arabic-Indic digits, Hijri date for top bar if required, reading-time estimator.</v>
      </c>
      <c r="F20" t="str">
        <v>P1</v>
      </c>
      <c r="G20" t="str">
        <v>Completed</v>
      </c>
      <c r="H20">
        <v>46309</v>
      </c>
      <c r="I20">
        <v>46309</v>
      </c>
      <c r="J20">
        <v>1</v>
      </c>
      <c r="K20" t="str">
        <v>P1-03</v>
      </c>
      <c r="L20" t="str">
        <v>Staging (Hostinger)</v>
      </c>
      <c r="M20" t="str">
        <v>inc/helpers-date.php</v>
      </c>
      <c r="N20" t="str">
        <v>Check outputs for today, yesterday, last month and last year in site timezone</v>
      </c>
      <c r="O20" t="str">
        <v>All templates use helpers; dates correct in site timezone</v>
      </c>
      <c r="Q20" t="str">
        <v>altijara_format_date_ar() in helpers.php; used across SSR templates. Relative-time/Hijri optional extras not required for current UI.</v>
      </c>
      <c r="R20">
        <v>46306</v>
      </c>
      <c r="S20" t="str">
        <v>None</v>
      </c>
      <c r="T20" t="str">
        <v>Not Tested</v>
      </c>
      <c r="U20">
        <f>IF(A20="",0,IF(G20="Completed",1,IF(G20="Not Started",0,MIN(0.99,N(J20)))))</f>
        <v>0</v>
      </c>
      <c r="V20">
        <f>IF(OR(A20="",H20="",I20=""),0,MAX(0,MIN(1,(StatusDate-H20+1)/(I20-H20+1))))</f>
        <v>0</v>
      </c>
      <c r="W20">
        <f>IF(OR(A20="",I20="",G20="Completed"),"",I20-StatusDate)</f>
        <v>3</v>
      </c>
      <c r="X20" t="str">
        <f>IF(A20="","",IF(AND(G20&lt;&gt;"Completed",I20&lt;&gt;"",I20&lt;StatusDate),"OVERDUE",""))</f>
        <v/>
      </c>
      <c r="Y20" t="str">
        <f>IF(OR(A20="",K20=""),"",IF(SUMPRODUCT(($A$6:$A$400&lt;&gt;"")*ISNUMBER(SEARCH($A$6:$A$400,K20))*($G$6:$G$400&lt;&gt;"Completed"))=0,"✓ Ready","⏳ "&amp;SUMPRODUCT(($A$6:$A$400&lt;&gt;"")*ISNUMBER(SEARCH($A$6:$A$400,K20))*($G$6:$G$400&lt;&gt;"Completed"))&amp;" open"))</f>
        <v>⏳ 1 open</v>
      </c>
      <c r="Z20" t="str">
        <f>IF(A20="","",B20&amp;"|"&amp;COUNTIFS($B$6:B20,B20,$A$6:A20,"?*"))</f>
        <v>Phase 1|15</v>
      </c>
      <c r="AA20">
        <f>IF(OR(A20="",I20="",G20="Completed"),"",IF(I20&gt;=StatusDate,I20+ROW()/100000,""))</f>
        <v>46309.0002</v>
      </c>
      <c r="AB20" t="str">
        <f>IF(A20="","",IF(AND(G20&lt;&gt;"Completed",OR(G20="Blocked",AND(TRIM(P20)&lt;&gt;"",P20&lt;&gt;"None"))),ROW(),""))</f>
        <v/>
      </c>
      <c r="AC20" t="str">
        <f>IF(A20="","",IF(G20="Completed","Done",IF(G20="Blocked","Blocked",IF(X20="OVERDUE","Overdue",IF(AND(W20&lt;&gt;"",W20&lt;=2),"Due soon",IF(AND(Y20&lt;&gt;"",LEFT(Y20,1)="⏳",G20&lt;&gt;"Not Started"),"Dependency open",IF(AND(S20&lt;&gt;"None",S20&lt;&gt;"",G20&lt;&gt;"Completed"),"External req.","On track")))))))</f>
        <v>On track</v>
      </c>
    </row>
    <row r="21">
      <c r="A21" t="str">
        <v>P1-16</v>
      </c>
      <c r="B21" t="str">
        <v>Phase 1</v>
      </c>
      <c r="C21" t="str">
        <v>Media</v>
      </c>
      <c r="D21" t="str">
        <v>Image handling, lazy-load &amp; fallbacks</v>
      </c>
      <c r="E21" t="str">
        <v>Lazy-loading, srcset/sizes on every card, default fallback image for legacy posts without thumbnails, WebP via LiteSpeed/hosting, aspect-ratio boxes to prevent CLS.</v>
      </c>
      <c r="F21" t="str">
        <v>P1</v>
      </c>
      <c r="G21" t="str">
        <v>In Progress</v>
      </c>
      <c r="H21">
        <v>46309</v>
      </c>
      <c r="I21">
        <v>46309</v>
      </c>
      <c r="J21">
        <v>0.5</v>
      </c>
      <c r="K21" t="str">
        <v>P1-06</v>
      </c>
      <c r="L21" t="str">
        <v>Staging (Hostinger)</v>
      </c>
      <c r="M21" t="str">
        <v>inc/media.php, template-parts/components/*</v>
      </c>
      <c r="N21" t="str">
        <v>Legacy post without featured image shows fallback; no layout shift on card grids</v>
      </c>
      <c r="O21" t="str">
        <v>Every card shows an image or fallback; CLS &lt; 0.1 on archives</v>
      </c>
      <c r="Q21" t="str">
        <v>Thumb helper + fallback image path; lazy-load/srcset polish still needed on all cards.</v>
      </c>
      <c r="S21" t="str">
        <v>None</v>
      </c>
      <c r="T21" t="str">
        <v>Not Tested</v>
      </c>
      <c r="U21">
        <f>IF(A21="",0,IF(G21="Completed",1,IF(G21="Not Started",0,MIN(0.99,N(J21)))))</f>
        <v>0</v>
      </c>
      <c r="V21">
        <f>IF(OR(A21="",H21="",I21=""),0,MAX(0,MIN(1,(StatusDate-H21+1)/(I21-H21+1))))</f>
        <v>0</v>
      </c>
      <c r="W21">
        <f>IF(OR(A21="",I21="",G21="Completed"),"",I21-StatusDate)</f>
        <v>3</v>
      </c>
      <c r="X21" t="str">
        <f>IF(A21="","",IF(AND(G21&lt;&gt;"Completed",I21&lt;&gt;"",I21&lt;StatusDate),"OVERDUE",""))</f>
        <v/>
      </c>
      <c r="Y21" t="str">
        <f>IF(OR(A21="",K21=""),"",IF(SUMPRODUCT(($A$6:$A$400&lt;&gt;"")*ISNUMBER(SEARCH($A$6:$A$400,K21))*($G$6:$G$400&lt;&gt;"Completed"))=0,"✓ Ready","⏳ "&amp;SUMPRODUCT(($A$6:$A$400&lt;&gt;"")*ISNUMBER(SEARCH($A$6:$A$400,K21))*($G$6:$G$400&lt;&gt;"Completed"))&amp;" open"))</f>
        <v>⏳ 1 open</v>
      </c>
      <c r="Z21" t="str">
        <f>IF(A21="","",B21&amp;"|"&amp;COUNTIFS($B$6:B21,B21,$A$6:A21,"?*"))</f>
        <v>Phase 1|16</v>
      </c>
      <c r="AA21">
        <f>IF(OR(A21="",I21="",G21="Completed"),"",IF(I21&gt;=StatusDate,I21+ROW()/100000,""))</f>
        <v>46309.00021</v>
      </c>
      <c r="AB21" t="str">
        <f>IF(A21="","",IF(AND(G21&lt;&gt;"Completed",OR(G21="Blocked",AND(TRIM(P21)&lt;&gt;"",P21&lt;&gt;"None"))),ROW(),""))</f>
        <v/>
      </c>
      <c r="AC21" t="str">
        <f>IF(A21="","",IF(G21="Completed","Done",IF(G21="Blocked","Blocked",IF(X21="OVERDUE","Overdue",IF(AND(W21&lt;&gt;"",W21&lt;=2),"Due soon",IF(AND(Y21&lt;&gt;"",LEFT(Y21,1)="⏳",G21&lt;&gt;"Not Started"),"Dependency open",IF(AND(S21&lt;&gt;"None",S21&lt;&gt;"",G21&lt;&gt;"Completed"),"External req.","On track")))))))</f>
        <v>On track</v>
      </c>
    </row>
    <row r="22">
      <c r="A22" t="str">
        <v>P1-17</v>
      </c>
      <c r="B22" t="str">
        <v>Phase 1</v>
      </c>
      <c r="C22" t="str">
        <v>Phase QA</v>
      </c>
      <c r="D22" t="str">
        <v>Phase 1 verification &amp; tag v0.1</v>
      </c>
      <c r="E22" t="str">
        <v>Activate theme on staging, review debug.log, PHP 8.x compatibility, render sample pages, tag release v0.1 in Git.</v>
      </c>
      <c r="F22" t="str">
        <v>P0</v>
      </c>
      <c r="G22" t="str">
        <v>In Progress</v>
      </c>
      <c r="H22">
        <v>46309</v>
      </c>
      <c r="I22">
        <v>46309</v>
      </c>
      <c r="J22">
        <v>0.3</v>
      </c>
      <c r="K22" t="str">
        <v>P1-11, P1-13, P1-14, P1-16</v>
      </c>
      <c r="L22" t="str">
        <v>Staging (Hostinger)</v>
      </c>
      <c r="M22" t="str">
        <v>debug.log</v>
      </c>
      <c r="N22" t="str">
        <v>debug.log has no theme notices; all templates load</v>
      </c>
      <c r="O22" t="str">
        <v>Foundation signed off; Phase 2 can start</v>
      </c>
      <c r="Q22" t="str">
        <v>Local theme v2.2.2 ready; staging activation/QA + Git tag v0.1 still required on Hostinger.</v>
      </c>
      <c r="S22" t="str">
        <v>None</v>
      </c>
      <c r="T22" t="str">
        <v>Not Tested</v>
      </c>
      <c r="U22">
        <f>IF(A22="",0,IF(G22="Completed",1,IF(G22="Not Started",0,MIN(0.99,N(J22)))))</f>
        <v>0</v>
      </c>
      <c r="V22">
        <f>IF(OR(A22="",H22="",I22=""),0,MAX(0,MIN(1,(StatusDate-H22+1)/(I22-H22+1))))</f>
        <v>0</v>
      </c>
      <c r="W22">
        <f>IF(OR(A22="",I22="",G22="Completed"),"",I22-StatusDate)</f>
        <v>3</v>
      </c>
      <c r="X22" t="str">
        <f>IF(A22="","",IF(AND(G22&lt;&gt;"Completed",I22&lt;&gt;"",I22&lt;StatusDate),"OVERDUE",""))</f>
        <v/>
      </c>
      <c r="Y22" t="str">
        <f>IF(OR(A22="",K22=""),"",IF(SUMPRODUCT(($A$6:$A$400&lt;&gt;"")*ISNUMBER(SEARCH($A$6:$A$400,K22))*($G$6:$G$400&lt;&gt;"Completed"))=0,"✓ Ready","⏳ "&amp;SUMPRODUCT(($A$6:$A$400&lt;&gt;"")*ISNUMBER(SEARCH($A$6:$A$400,K22))*($G$6:$G$400&lt;&gt;"Completed"))&amp;" open"))</f>
        <v>⏳ 4 open</v>
      </c>
      <c r="Z22" t="str">
        <f>IF(A22="","",B22&amp;"|"&amp;COUNTIFS($B$6:B22,B22,$A$6:A22,"?*"))</f>
        <v>Phase 1|17</v>
      </c>
      <c r="AA22">
        <f>IF(OR(A22="",I22="",G22="Completed"),"",IF(I22&gt;=StatusDate,I22+ROW()/100000,""))</f>
        <v>46309.00022</v>
      </c>
      <c r="AB22" t="str">
        <f>IF(A22="","",IF(AND(G22&lt;&gt;"Completed",OR(G22="Blocked",AND(TRIM(P22)&lt;&gt;"",P22&lt;&gt;"None"))),ROW(),""))</f>
        <v/>
      </c>
      <c r="AC22" t="str">
        <f>IF(A22="","",IF(G22="Completed","Done",IF(G22="Blocked","Blocked",IF(X22="OVERDUE","Overdue",IF(AND(W22&lt;&gt;"",W22&lt;=2),"Due soon",IF(AND(Y22&lt;&gt;"",LEFT(Y22,1)="⏳",G22&lt;&gt;"Not Started"),"Dependency open",IF(AND(S22&lt;&gt;"None",S22&lt;&gt;"",G22&lt;&gt;"Completed"),"External req.","On track")))))))</f>
        <v>On track</v>
      </c>
    </row>
    <row r="23">
      <c r="A23" t="str">
        <v>P2-01</v>
      </c>
      <c r="B23" t="str">
        <v>Phase 2</v>
      </c>
      <c r="C23" t="str">
        <v>Section Manager</v>
      </c>
      <c r="D23" t="str">
        <v>Section Manager engine &amp; schema</v>
      </c>
      <c r="E23" t="str">
        <v>inc/section-manager/: registry where each section defines title, source type (category / tag / manual), term IDs, post count, orderby, order, offset, exclude-duplicates, layout, visibility, cache TTL, ad slot; renderer maps sections to components.</v>
      </c>
      <c r="F23" t="str">
        <v>P0</v>
      </c>
      <c r="G23" t="str">
        <v>Completed</v>
      </c>
      <c r="H23">
        <v>46310</v>
      </c>
      <c r="I23">
        <v>46310</v>
      </c>
      <c r="J23">
        <v>1</v>
      </c>
      <c r="K23" t="str">
        <v>P1-06, P1-14</v>
      </c>
      <c r="L23" t="str">
        <v>Staging (Hostinger)</v>
      </c>
      <c r="M23" t="str">
        <v>inc/section-manager/registry.php, query-builder.php, render.php</v>
      </c>
      <c r="N23" t="str">
        <v>Register a test section; change schema values; output changes accordingly</v>
      </c>
      <c r="O23" t="str">
        <v>Every homepage section is rendered from the registry; no hard-coded queries in front-page.php</v>
      </c>
      <c r="Q23" t="str">
        <v>Widget Registry + Query Engine + Renderer (inc/widgets/* + section-manager.php). Homepage SSR from registry; no hard-coded queries in front-page.php.</v>
      </c>
      <c r="R23">
        <v>46306</v>
      </c>
      <c r="S23" t="str">
        <v>None</v>
      </c>
      <c r="T23" t="str">
        <v>Not Tested</v>
      </c>
      <c r="U23">
        <f>IF(A23="",0,IF(G23="Completed",1,IF(G23="Not Started",0,MIN(0.99,N(J23)))))</f>
        <v>0</v>
      </c>
      <c r="V23">
        <f>IF(OR(A23="",H23="",I23=""),0,MAX(0,MIN(1,(StatusDate-H23+1)/(I23-H23+1))))</f>
        <v>0</v>
      </c>
      <c r="W23">
        <f>IF(OR(A23="",I23="",G23="Completed"),"",I23-StatusDate)</f>
        <v>4</v>
      </c>
      <c r="X23" t="str">
        <f>IF(A23="","",IF(AND(G23&lt;&gt;"Completed",I23&lt;&gt;"",I23&lt;StatusDate),"OVERDUE",""))</f>
        <v/>
      </c>
      <c r="Y23" t="str">
        <f>IF(OR(A23="",K23=""),"",IF(SUMPRODUCT(($A$6:$A$400&lt;&gt;"")*ISNUMBER(SEARCH($A$6:$A$400,K23))*($G$6:$G$400&lt;&gt;"Completed"))=0,"✓ Ready","⏳ "&amp;SUMPRODUCT(($A$6:$A$400&lt;&gt;"")*ISNUMBER(SEARCH($A$6:$A$400,K23))*($G$6:$G$400&lt;&gt;"Completed"))&amp;" open"))</f>
        <v>⏳ 2 open</v>
      </c>
      <c r="Z23" t="str">
        <f>IF(A23="","",B23&amp;"|"&amp;COUNTIFS($B$6:B23,B23,$A$6:A23,"?*"))</f>
        <v>Phase 2|1</v>
      </c>
      <c r="AA23">
        <f>IF(OR(A23="",I23="",G23="Completed"),"",IF(I23&gt;=StatusDate,I23+ROW()/100000,""))</f>
        <v>46310.00023</v>
      </c>
      <c r="AB23" t="str">
        <f>IF(A23="","",IF(AND(G23&lt;&gt;"Completed",OR(G23="Blocked",AND(TRIM(P23)&lt;&gt;"",P23&lt;&gt;"None"))),ROW(),""))</f>
        <v/>
      </c>
      <c r="AC23" t="str">
        <f>IF(A23="","",IF(G23="Completed","Done",IF(G23="Blocked","Blocked",IF(X23="OVERDUE","Overdue",IF(AND(W23&lt;&gt;"",W23&lt;=2),"Due soon",IF(AND(Y23&lt;&gt;"",LEFT(Y23,1)="⏳",G23&lt;&gt;"Not Started"),"Dependency open",IF(AND(S23&lt;&gt;"None",S23&lt;&gt;"",G23&lt;&gt;"Completed"),"External req.","On track")))))))</f>
        <v>On track</v>
      </c>
    </row>
    <row r="24">
      <c r="A24" t="str">
        <v>P2-02</v>
      </c>
      <c r="B24" t="str">
        <v>Phase 2</v>
      </c>
      <c r="C24" t="str">
        <v>Customizer</v>
      </c>
      <c r="D24" t="str">
        <v>Customizer 'Homepage Sections' panel</v>
      </c>
      <c r="E24" t="str">
        <v>Panel with one section per homepage block; settings stored as theme_mods; sanitize callback on every control; selective refresh / postMessage preview where possible.</v>
      </c>
      <c r="F24" t="str">
        <v>P0</v>
      </c>
      <c r="G24" t="str">
        <v>Completed</v>
      </c>
      <c r="H24">
        <v>46310</v>
      </c>
      <c r="I24">
        <v>46310</v>
      </c>
      <c r="J24">
        <v>1</v>
      </c>
      <c r="K24" t="str">
        <v>P2-01</v>
      </c>
      <c r="L24" t="str">
        <v>Staging (Hostinger)</v>
      </c>
      <c r="M24" t="str">
        <v>inc/customizer/panel-homepage.php, assets/js/customizer-preview.js</v>
      </c>
      <c r="N24" t="str">
        <v>Editor (non-admin) changes a section in Customizer and publishes; invalid values rejected</v>
      </c>
      <c r="O24" t="str">
        <v>All sections configurable in Customizer with live preview and sanitized values</v>
      </c>
      <c r="Q24" t="str">
        <v>Implemented as Altijara Theme → Homepage Sections (theme options admin), not WP Customizer — same editor control goal, Settings API storage.</v>
      </c>
      <c r="R24">
        <v>46306</v>
      </c>
      <c r="S24" t="str">
        <v>None</v>
      </c>
      <c r="T24" t="str">
        <v>Not Tested</v>
      </c>
      <c r="U24">
        <f>IF(A24="",0,IF(G24="Completed",1,IF(G24="Not Started",0,MIN(0.99,N(J24)))))</f>
        <v>0</v>
      </c>
      <c r="V24">
        <f>IF(OR(A24="",H24="",I24=""),0,MAX(0,MIN(1,(StatusDate-H24+1)/(I24-H24+1))))</f>
        <v>0</v>
      </c>
      <c r="W24">
        <f>IF(OR(A24="",I24="",G24="Completed"),"",I24-StatusDate)</f>
        <v>4</v>
      </c>
      <c r="X24" t="str">
        <f>IF(A24="","",IF(AND(G24&lt;&gt;"Completed",I24&lt;&gt;"",I24&lt;StatusDate),"OVERDUE",""))</f>
        <v/>
      </c>
      <c r="Y24" t="str">
        <f>IF(OR(A24="",K24=""),"",IF(SUMPRODUCT(($A$6:$A$400&lt;&gt;"")*ISNUMBER(SEARCH($A$6:$A$400,K24))*($G$6:$G$400&lt;&gt;"Completed"))=0,"✓ Ready","⏳ "&amp;SUMPRODUCT(($A$6:$A$400&lt;&gt;"")*ISNUMBER(SEARCH($A$6:$A$400,K24))*($G$6:$G$400&lt;&gt;"Completed"))&amp;" open"))</f>
        <v>⏳ 1 open</v>
      </c>
      <c r="Z24" t="str">
        <f>IF(A24="","",B24&amp;"|"&amp;COUNTIFS($B$6:B24,B24,$A$6:A24,"?*"))</f>
        <v>Phase 2|2</v>
      </c>
      <c r="AA24">
        <f>IF(OR(A24="",I24="",G24="Completed"),"",IF(I24&gt;=StatusDate,I24+ROW()/100000,""))</f>
        <v>46310.00024</v>
      </c>
      <c r="AB24" t="str">
        <f>IF(A24="","",IF(AND(G24&lt;&gt;"Completed",OR(G24="Blocked",AND(TRIM(P24)&lt;&gt;"",P24&lt;&gt;"None"))),ROW(),""))</f>
        <v/>
      </c>
      <c r="AC24" t="str">
        <f>IF(A24="","",IF(G24="Completed","Done",IF(G24="Blocked","Blocked",IF(X24="OVERDUE","Overdue",IF(AND(W24&lt;&gt;"",W24&lt;=2),"Due soon",IF(AND(Y24&lt;&gt;"",LEFT(Y24,1)="⏳",G24&lt;&gt;"Not Started"),"Dependency open",IF(AND(S24&lt;&gt;"None",S24&lt;&gt;"",G24&lt;&gt;"Completed"),"External req.","On track")))))))</f>
        <v>On track</v>
      </c>
    </row>
    <row r="25">
      <c r="A25" t="str">
        <v>P2-03</v>
      </c>
      <c r="B25" t="str">
        <v>Phase 2</v>
      </c>
      <c r="C25" t="str">
        <v>Customizer Controls</v>
      </c>
      <c r="D25" t="str">
        <v>Dynamic category / tag selection</v>
      </c>
      <c r="E25" t="str">
        <v>Custom WP_Customize_Control: searchable multi-select for categories and tags storing term IDs (survives renames).</v>
      </c>
      <c r="F25" t="str">
        <v>P0</v>
      </c>
      <c r="G25" t="str">
        <v>Completed</v>
      </c>
      <c r="H25">
        <v>46310</v>
      </c>
      <c r="I25">
        <v>46310</v>
      </c>
      <c r="J25">
        <v>1</v>
      </c>
      <c r="K25" t="str">
        <v>P2-02</v>
      </c>
      <c r="L25" t="str">
        <v>Staging (Hostinger)</v>
      </c>
      <c r="M25" t="str">
        <v>inc/customizer/controls/term-select.php, assets/js/customizer-controls.js</v>
      </c>
      <c r="N25" t="str">
        <v>Select 2 categories + 1 tag; rename a category; section still pulls correctly</v>
      </c>
      <c r="O25" t="str">
        <v>Sections can be sourced from any category/tag combination by ID</v>
      </c>
      <c r="Q25" t="str">
        <v>Category select (map/slug/ID) + tag select in section admin cards.</v>
      </c>
      <c r="R25">
        <v>46306</v>
      </c>
      <c r="S25" t="str">
        <v>None</v>
      </c>
      <c r="T25" t="str">
        <v>Not Tested</v>
      </c>
      <c r="U25">
        <f>IF(A25="",0,IF(G25="Completed",1,IF(G25="Not Started",0,MIN(0.99,N(J25)))))</f>
        <v>0</v>
      </c>
      <c r="V25">
        <f>IF(OR(A25="",H25="",I25=""),0,MAX(0,MIN(1,(StatusDate-H25+1)/(I25-H25+1))))</f>
        <v>0</v>
      </c>
      <c r="W25">
        <f>IF(OR(A25="",I25="",G25="Completed"),"",I25-StatusDate)</f>
        <v>4</v>
      </c>
      <c r="X25" t="str">
        <f>IF(A25="","",IF(AND(G25&lt;&gt;"Completed",I25&lt;&gt;"",I25&lt;StatusDate),"OVERDUE",""))</f>
        <v/>
      </c>
      <c r="Y25" t="str">
        <f>IF(OR(A25="",K25=""),"",IF(SUMPRODUCT(($A$6:$A$400&lt;&gt;"")*ISNUMBER(SEARCH($A$6:$A$400,K25))*($G$6:$G$400&lt;&gt;"Completed"))=0,"✓ Ready","⏳ "&amp;SUMPRODUCT(($A$6:$A$400&lt;&gt;"")*ISNUMBER(SEARCH($A$6:$A$400,K25))*($G$6:$G$400&lt;&gt;"Completed"))&amp;" open"))</f>
        <v>⏳ 1 open</v>
      </c>
      <c r="Z25" t="str">
        <f>IF(A25="","",B25&amp;"|"&amp;COUNTIFS($B$6:B25,B25,$A$6:A25,"?*"))</f>
        <v>Phase 2|3</v>
      </c>
      <c r="AA25">
        <f>IF(OR(A25="",I25="",G25="Completed"),"",IF(I25&gt;=StatusDate,I25+ROW()/100000,""))</f>
        <v>46310.00025</v>
      </c>
      <c r="AB25" t="str">
        <f>IF(A25="","",IF(AND(G25&lt;&gt;"Completed",OR(G25="Blocked",AND(TRIM(P25)&lt;&gt;"",P25&lt;&gt;"None"))),ROW(),""))</f>
        <v/>
      </c>
      <c r="AC25" t="str">
        <f>IF(A25="","",IF(G25="Completed","Done",IF(G25="Blocked","Blocked",IF(X25="OVERDUE","Overdue",IF(AND(W25&lt;&gt;"",W25&lt;=2),"Due soon",IF(AND(Y25&lt;&gt;"",LEFT(Y25,1)="⏳",G25&lt;&gt;"Not Started"),"Dependency open",IF(AND(S25&lt;&gt;"None",S25&lt;&gt;"",G25&lt;&gt;"Completed"),"External req.","On track")))))))</f>
        <v>On track</v>
      </c>
    </row>
    <row r="26">
      <c r="A26" t="str">
        <v>P2-04</v>
      </c>
      <c r="B26" t="str">
        <v>Phase 2</v>
      </c>
      <c r="C26" t="str">
        <v>Customizer Controls</v>
      </c>
      <c r="D26" t="str">
        <v>Post count, sorting &amp; offset controls</v>
      </c>
      <c r="E26" t="str">
        <v>Count (1–20), orderby (date, modified, comment_count, most-read, random), order ASC/DESC and offset; query builder maps to WP_Query args.</v>
      </c>
      <c r="F26" t="str">
        <v>P0</v>
      </c>
      <c r="G26" t="str">
        <v>Completed</v>
      </c>
      <c r="H26">
        <v>46310</v>
      </c>
      <c r="I26">
        <v>46310</v>
      </c>
      <c r="J26">
        <v>1</v>
      </c>
      <c r="K26" t="str">
        <v>P2-03</v>
      </c>
      <c r="L26" t="str">
        <v>Staging (Hostinger)</v>
      </c>
      <c r="M26" t="str">
        <v>inc/section-manager/query-builder.php</v>
      </c>
      <c r="N26" t="str">
        <v>Change count, order and offset; verify returned posts in Query Monitor</v>
      </c>
      <c r="O26" t="str">
        <v>Count, sorting and offset behave exactly as configured</v>
      </c>
      <c r="Q26" t="str">
        <v>Count, offset, orderby, order wired through query engine.</v>
      </c>
      <c r="R26">
        <v>46306</v>
      </c>
      <c r="S26" t="str">
        <v>None</v>
      </c>
      <c r="T26" t="str">
        <v>Not Tested</v>
      </c>
      <c r="U26">
        <f>IF(A26="",0,IF(G26="Completed",1,IF(G26="Not Started",0,MIN(0.99,N(J26)))))</f>
        <v>0</v>
      </c>
      <c r="V26">
        <f>IF(OR(A26="",H26="",I26=""),0,MAX(0,MIN(1,(StatusDate-H26+1)/(I26-H26+1))))</f>
        <v>0</v>
      </c>
      <c r="W26">
        <f>IF(OR(A26="",I26="",G26="Completed"),"",I26-StatusDate)</f>
        <v>4</v>
      </c>
      <c r="X26" t="str">
        <f>IF(A26="","",IF(AND(G26&lt;&gt;"Completed",I26&lt;&gt;"",I26&lt;StatusDate),"OVERDUE",""))</f>
        <v/>
      </c>
      <c r="Y26" t="str">
        <f>IF(OR(A26="",K26=""),"",IF(SUMPRODUCT(($A$6:$A$400&lt;&gt;"")*ISNUMBER(SEARCH($A$6:$A$400,K26))*($G$6:$G$400&lt;&gt;"Completed"))=0,"✓ Ready","⏳ "&amp;SUMPRODUCT(($A$6:$A$400&lt;&gt;"")*ISNUMBER(SEARCH($A$6:$A$400,K26))*($G$6:$G$400&lt;&gt;"Completed"))&amp;" open"))</f>
        <v>⏳ 1 open</v>
      </c>
      <c r="Z26" t="str">
        <f>IF(A26="","",B26&amp;"|"&amp;COUNTIFS($B$6:B26,B26,$A$6:A26,"?*"))</f>
        <v>Phase 2|4</v>
      </c>
      <c r="AA26">
        <f>IF(OR(A26="",I26="",G26="Completed"),"",IF(I26&gt;=StatusDate,I26+ROW()/100000,""))</f>
        <v>46310.00026</v>
      </c>
      <c r="AB26" t="str">
        <f>IF(A26="","",IF(AND(G26&lt;&gt;"Completed",OR(G26="Blocked",AND(TRIM(P26)&lt;&gt;"",P26&lt;&gt;"None"))),ROW(),""))</f>
        <v/>
      </c>
      <c r="AC26" t="str">
        <f>IF(A26="","",IF(G26="Completed","Done",IF(G26="Blocked","Blocked",IF(X26="OVERDUE","Overdue",IF(AND(W26&lt;&gt;"",W26&lt;=2),"Due soon",IF(AND(Y26&lt;&gt;"",LEFT(Y26,1)="⏳",G26&lt;&gt;"Not Started"),"Dependency open",IF(AND(S26&lt;&gt;"None",S26&lt;&gt;"",G26&lt;&gt;"Completed"),"External req.","On track")))))))</f>
        <v>On track</v>
      </c>
    </row>
    <row r="27">
      <c r="A27" t="str">
        <v>P2-05</v>
      </c>
      <c r="B27" t="str">
        <v>Phase 2</v>
      </c>
      <c r="C27" t="str">
        <v>Customizer Controls</v>
      </c>
      <c r="D27" t="str">
        <v>Manual post selection (post picker)</v>
      </c>
      <c r="E27" t="str">
        <v>Post-picker control searching /wp/v2/posts via REST with sortable selected list; manual selection overrides automatic source.</v>
      </c>
      <c r="F27" t="str">
        <v>P1</v>
      </c>
      <c r="G27" t="str">
        <v>Completed</v>
      </c>
      <c r="H27">
        <v>46310</v>
      </c>
      <c r="I27">
        <v>46310</v>
      </c>
      <c r="J27">
        <v>1</v>
      </c>
      <c r="K27" t="str">
        <v>P2-02</v>
      </c>
      <c r="L27" t="str">
        <v>Staging (Hostinger)</v>
      </c>
      <c r="M27" t="str">
        <v>inc/customizer/controls/post-picker.php, assets/js/customizer-controls.js</v>
      </c>
      <c r="N27" t="str">
        <v>Pick 4 posts, reorder, publish; homepage shows them in chosen order</v>
      </c>
      <c r="O27" t="str">
        <v>Editors can pin specific posts in a chosen order</v>
      </c>
      <c r="Q27" t="str">
        <v>AJAX searchable manual article picker (admin/section-manager.js + wp_ajax_altijara_search_posts).</v>
      </c>
      <c r="R27">
        <v>46306</v>
      </c>
      <c r="S27" t="str">
        <v>None</v>
      </c>
      <c r="T27" t="str">
        <v>Not Tested</v>
      </c>
      <c r="U27">
        <f>IF(A27="",0,IF(G27="Completed",1,IF(G27="Not Started",0,MIN(0.99,N(J27)))))</f>
        <v>0</v>
      </c>
      <c r="V27">
        <f>IF(OR(A27="",H27="",I27=""),0,MAX(0,MIN(1,(StatusDate-H27+1)/(I27-H27+1))))</f>
        <v>0</v>
      </c>
      <c r="W27">
        <f>IF(OR(A27="",I27="",G27="Completed"),"",I27-StatusDate)</f>
        <v>4</v>
      </c>
      <c r="X27" t="str">
        <f>IF(A27="","",IF(AND(G27&lt;&gt;"Completed",I27&lt;&gt;"",I27&lt;StatusDate),"OVERDUE",""))</f>
        <v/>
      </c>
      <c r="Y27" t="str">
        <f>IF(OR(A27="",K27=""),"",IF(SUMPRODUCT(($A$6:$A$400&lt;&gt;"")*ISNUMBER(SEARCH($A$6:$A$400,K27))*($G$6:$G$400&lt;&gt;"Completed"))=0,"✓ Ready","⏳ "&amp;SUMPRODUCT(($A$6:$A$400&lt;&gt;"")*ISNUMBER(SEARCH($A$6:$A$400,K27))*($G$6:$G$400&lt;&gt;"Completed"))&amp;" open"))</f>
        <v>⏳ 1 open</v>
      </c>
      <c r="Z27" t="str">
        <f>IF(A27="","",B27&amp;"|"&amp;COUNTIFS($B$6:B27,B27,$A$6:A27,"?*"))</f>
        <v>Phase 2|5</v>
      </c>
      <c r="AA27">
        <f>IF(OR(A27="",I27="",G27="Completed"),"",IF(I27&gt;=StatusDate,I27+ROW()/100000,""))</f>
        <v>46310.00027</v>
      </c>
      <c r="AB27" t="str">
        <f>IF(A27="","",IF(AND(G27&lt;&gt;"Completed",OR(G27="Blocked",AND(TRIM(P27)&lt;&gt;"",P27&lt;&gt;"None"))),ROW(),""))</f>
        <v/>
      </c>
      <c r="AC27" t="str">
        <f>IF(A27="","",IF(G27="Completed","Done",IF(G27="Blocked","Blocked",IF(X27="OVERDUE","Overdue",IF(AND(W27&lt;&gt;"",W27&lt;=2),"Due soon",IF(AND(Y27&lt;&gt;"",LEFT(Y27,1)="⏳",G27&lt;&gt;"Not Started"),"Dependency open",IF(AND(S27&lt;&gt;"None",S27&lt;&gt;"",G27&lt;&gt;"Completed"),"External req.","On track")))))))</f>
        <v>On track</v>
      </c>
    </row>
    <row r="28">
      <c r="A28" t="str">
        <v>P2-06</v>
      </c>
      <c r="B28" t="str">
        <v>Phase 2</v>
      </c>
      <c r="C28" t="str">
        <v>Customizer Controls</v>
      </c>
      <c r="D28" t="str">
        <v>Layout switching per section</v>
      </c>
      <c r="E28" t="str">
        <v>Layout variants per section (hero+list, grid-3, grid-4, list, slider, carousel) mapped to component templates.</v>
      </c>
      <c r="F28" t="str">
        <v>P1</v>
      </c>
      <c r="G28" t="str">
        <v>Completed</v>
      </c>
      <c r="H28">
        <v>46310</v>
      </c>
      <c r="I28">
        <v>46310</v>
      </c>
      <c r="J28">
        <v>1</v>
      </c>
      <c r="K28" t="str">
        <v>P2-01</v>
      </c>
      <c r="L28" t="str">
        <v>Staging (Hostinger)</v>
      </c>
      <c r="M28" t="str">
        <v>template-parts/sections/*.php</v>
      </c>
      <c r="N28" t="str">
        <v>Switch each section through every layout at 360 px and 1440 px</v>
      </c>
      <c r="O28" t="str">
        <v>Each layout renders correctly and responsively</v>
      </c>
      <c r="Q28" t="str">
        <v>Widget types + variants (e.g. article_grid default vs cars_row for Tech). Maps to template-parts/home/*.</v>
      </c>
      <c r="R28">
        <v>46306</v>
      </c>
      <c r="S28" t="str">
        <v>None</v>
      </c>
      <c r="T28" t="str">
        <v>Not Tested</v>
      </c>
      <c r="U28">
        <f>IF(A28="",0,IF(G28="Completed",1,IF(G28="Not Started",0,MIN(0.99,N(J28)))))</f>
        <v>0</v>
      </c>
      <c r="V28">
        <f>IF(OR(A28="",H28="",I28=""),0,MAX(0,MIN(1,(StatusDate-H28+1)/(I28-H28+1))))</f>
        <v>0</v>
      </c>
      <c r="W28">
        <f>IF(OR(A28="",I28="",G28="Completed"),"",I28-StatusDate)</f>
        <v>4</v>
      </c>
      <c r="X28" t="str">
        <f>IF(A28="","",IF(AND(G28&lt;&gt;"Completed",I28&lt;&gt;"",I28&lt;StatusDate),"OVERDUE",""))</f>
        <v/>
      </c>
      <c r="Y28" t="str">
        <f>IF(OR(A28="",K28=""),"",IF(SUMPRODUCT(($A$6:$A$400&lt;&gt;"")*ISNUMBER(SEARCH($A$6:$A$400,K28))*($G$6:$G$400&lt;&gt;"Completed"))=0,"✓ Ready","⏳ "&amp;SUMPRODUCT(($A$6:$A$400&lt;&gt;"")*ISNUMBER(SEARCH($A$6:$A$400,K28))*($G$6:$G$400&lt;&gt;"Completed"))&amp;" open"))</f>
        <v>⏳ 1 open</v>
      </c>
      <c r="Z28" t="str">
        <f>IF(A28="","",B28&amp;"|"&amp;COUNTIFS($B$6:B28,B28,$A$6:A28,"?*"))</f>
        <v>Phase 2|6</v>
      </c>
      <c r="AA28">
        <f>IF(OR(A28="",I28="",G28="Completed"),"",IF(I28&gt;=StatusDate,I28+ROW()/100000,""))</f>
        <v>46310.00028</v>
      </c>
      <c r="AB28" t="str">
        <f>IF(A28="","",IF(AND(G28&lt;&gt;"Completed",OR(G28="Blocked",AND(TRIM(P28)&lt;&gt;"",P28&lt;&gt;"None"))),ROW(),""))</f>
        <v/>
      </c>
      <c r="AC28" t="str">
        <f>IF(A28="","",IF(G28="Completed","Done",IF(G28="Blocked","Blocked",IF(X28="OVERDUE","Overdue",IF(AND(W28&lt;&gt;"",W28&lt;=2),"Due soon",IF(AND(Y28&lt;&gt;"",LEFT(Y28,1)="⏳",G28&lt;&gt;"Not Started"),"Dependency open",IF(AND(S28&lt;&gt;"None",S28&lt;&gt;"",G28&lt;&gt;"Completed"),"External req.","On track")))))))</f>
        <v>On track</v>
      </c>
    </row>
    <row r="29">
      <c r="A29" t="str">
        <v>P2-07</v>
      </c>
      <c r="B29" t="str">
        <v>Phase 2</v>
      </c>
      <c r="C29" t="str">
        <v>Customizer Controls</v>
      </c>
      <c r="D29" t="str">
        <v>Section visibility, ordering &amp; de-duplication</v>
      </c>
      <c r="E29" t="str">
        <v>Show/hide toggle per section, sortable section order setting, global de-duplication so a post appears only once on the homepage.</v>
      </c>
      <c r="F29" t="str">
        <v>P0</v>
      </c>
      <c r="G29" t="str">
        <v>In Progress</v>
      </c>
      <c r="H29">
        <v>46310</v>
      </c>
      <c r="I29">
        <v>46311</v>
      </c>
      <c r="J29">
        <v>0.7</v>
      </c>
      <c r="K29" t="str">
        <v>P2-02</v>
      </c>
      <c r="L29" t="str">
        <v>Staging (Hostinger)</v>
      </c>
      <c r="M29" t="str">
        <v>inc/section-manager/render.php, inc/customizer/controls/sortable.php</v>
      </c>
      <c r="N29" t="str">
        <v>Hide a section, reorder two sections, confirm no duplicate posts across sections</v>
      </c>
      <c r="O29" t="str">
        <v>Visibility, order and de-duplication controlled from Customizer</v>
      </c>
      <c r="Q29" t="str">
        <v>Visibility per section done. Homepage sequence fixed to PDF/prototype order (not drag-reorder). Cross-section post de-duplication not yet global.</v>
      </c>
      <c r="S29" t="str">
        <v>None</v>
      </c>
      <c r="T29" t="str">
        <v>Not Tested</v>
      </c>
      <c r="U29">
        <f>IF(A29="",0,IF(G29="Completed",1,IF(G29="Not Started",0,MIN(0.99,N(J29)))))</f>
        <v>0</v>
      </c>
      <c r="V29">
        <f>IF(OR(A29="",H29="",I29=""),0,MAX(0,MIN(1,(StatusDate-H29+1)/(I29-H29+1))))</f>
        <v>0</v>
      </c>
      <c r="W29">
        <f>IF(OR(A29="",I29="",G29="Completed"),"",I29-StatusDate)</f>
        <v>5</v>
      </c>
      <c r="X29" t="str">
        <f>IF(A29="","",IF(AND(G29&lt;&gt;"Completed",I29&lt;&gt;"",I29&lt;StatusDate),"OVERDUE",""))</f>
        <v/>
      </c>
      <c r="Y29" t="str">
        <f>IF(OR(A29="",K29=""),"",IF(SUMPRODUCT(($A$6:$A$400&lt;&gt;"")*ISNUMBER(SEARCH($A$6:$A$400,K29))*($G$6:$G$400&lt;&gt;"Completed"))=0,"✓ Ready","⏳ "&amp;SUMPRODUCT(($A$6:$A$400&lt;&gt;"")*ISNUMBER(SEARCH($A$6:$A$400,K29))*($G$6:$G$400&lt;&gt;"Completed"))&amp;" open"))</f>
        <v>⏳ 1 open</v>
      </c>
      <c r="Z29" t="str">
        <f>IF(A29="","",B29&amp;"|"&amp;COUNTIFS($B$6:B29,B29,$A$6:A29,"?*"))</f>
        <v>Phase 2|7</v>
      </c>
      <c r="AA29">
        <f>IF(OR(A29="",I29="",G29="Completed"),"",IF(I29&gt;=StatusDate,I29+ROW()/100000,""))</f>
        <v>46311.00029</v>
      </c>
      <c r="AB29" t="str">
        <f>IF(A29="","",IF(AND(G29&lt;&gt;"Completed",OR(G29="Blocked",AND(TRIM(P29)&lt;&gt;"",P29&lt;&gt;"None"))),ROW(),""))</f>
        <v/>
      </c>
      <c r="AC29" t="str">
        <f>IF(A29="","",IF(G29="Completed","Done",IF(G29="Blocked","Blocked",IF(X29="OVERDUE","Overdue",IF(AND(W29&lt;&gt;"",W29&lt;=2),"Due soon",IF(AND(Y29&lt;&gt;"",LEFT(Y29,1)="⏳",G29&lt;&gt;"Not Started"),"Dependency open",IF(AND(S29&lt;&gt;"None",S29&lt;&gt;"",G29&lt;&gt;"Completed"),"External req.","On track")))))))</f>
        <v>On track</v>
      </c>
    </row>
    <row r="30">
      <c r="A30" t="str">
        <v>P2-08</v>
      </c>
      <c r="B30" t="str">
        <v>Phase 2</v>
      </c>
      <c r="C30" t="str">
        <v>Cache Controls</v>
      </c>
      <c r="D30" t="str">
        <v>Section cache controls + LiteSpeed purge</v>
      </c>
      <c r="E30" t="str">
        <v>Per-section TTL; 'Purge homepage cache' button (nonce + capability check); auto-purge on publish/update; triggers LiteSpeed purge action.</v>
      </c>
      <c r="F30" t="str">
        <v>P0</v>
      </c>
      <c r="G30" t="str">
        <v>Completed</v>
      </c>
      <c r="H30">
        <v>46311</v>
      </c>
      <c r="I30">
        <v>46311</v>
      </c>
      <c r="J30">
        <v>1</v>
      </c>
      <c r="K30" t="str">
        <v>P1-14, P2-01</v>
      </c>
      <c r="L30" t="str">
        <v>Staging (Hostinger)</v>
      </c>
      <c r="M30" t="str">
        <v>inc/section-manager/cache.php</v>
      </c>
      <c r="N30" t="str">
        <v>Publish a post → appears on homepage after purge; purge button works only for editors+</v>
      </c>
      <c r="O30" t="str">
        <v>Homepage never serves stale sections after publish; manual purge available</v>
      </c>
      <c r="Q30" t="str">
        <v>Global section cache purge on save + admin purge button; TTL via advanced settings.</v>
      </c>
      <c r="R30">
        <v>46306</v>
      </c>
      <c r="S30" t="str">
        <v>None</v>
      </c>
      <c r="T30" t="str">
        <v>Not Tested</v>
      </c>
      <c r="U30">
        <f>IF(A30="",0,IF(G30="Completed",1,IF(G30="Not Started",0,MIN(0.99,N(J30)))))</f>
        <v>0</v>
      </c>
      <c r="V30">
        <f>IF(OR(A30="",H30="",I30=""),0,MAX(0,MIN(1,(StatusDate-H30+1)/(I30-H30+1))))</f>
        <v>0</v>
      </c>
      <c r="W30">
        <f>IF(OR(A30="",I30="",G30="Completed"),"",I30-StatusDate)</f>
        <v>5</v>
      </c>
      <c r="X30" t="str">
        <f>IF(A30="","",IF(AND(G30&lt;&gt;"Completed",I30&lt;&gt;"",I30&lt;StatusDate),"OVERDUE",""))</f>
        <v/>
      </c>
      <c r="Y30" t="str">
        <f>IF(OR(A30="",K30=""),"",IF(SUMPRODUCT(($A$6:$A$400&lt;&gt;"")*ISNUMBER(SEARCH($A$6:$A$400,K30))*($G$6:$G$400&lt;&gt;"Completed"))=0,"✓ Ready","⏳ "&amp;SUMPRODUCT(($A$6:$A$400&lt;&gt;"")*ISNUMBER(SEARCH($A$6:$A$400,K30))*($G$6:$G$400&lt;&gt;"Completed"))&amp;" open"))</f>
        <v>⏳ 2 open</v>
      </c>
      <c r="Z30" t="str">
        <f>IF(A30="","",B30&amp;"|"&amp;COUNTIFS($B$6:B30,B30,$A$6:A30,"?*"))</f>
        <v>Phase 2|8</v>
      </c>
      <c r="AA30">
        <f>IF(OR(A30="",I30="",G30="Completed"),"",IF(I30&gt;=StatusDate,I30+ROW()/100000,""))</f>
        <v>46311.0003</v>
      </c>
      <c r="AB30" t="str">
        <f>IF(A30="","",IF(AND(G30&lt;&gt;"Completed",OR(G30="Blocked",AND(TRIM(P30)&lt;&gt;"",P30&lt;&gt;"None"))),ROW(),""))</f>
        <v/>
      </c>
      <c r="AC30" t="str">
        <f>IF(A30="","",IF(G30="Completed","Done",IF(G30="Blocked","Blocked",IF(X30="OVERDUE","Overdue",IF(AND(W30&lt;&gt;"",W30&lt;=2),"Due soon",IF(AND(Y30&lt;&gt;"",LEFT(Y30,1)="⏳",G30&lt;&gt;"Not Started"),"Dependency open",IF(AND(S30&lt;&gt;"None",S30&lt;&gt;"",G30&lt;&gt;"Completed"),"External req.","On track")))))))</f>
        <v>On track</v>
      </c>
    </row>
    <row r="31">
      <c r="A31" t="str">
        <v>P2-09</v>
      </c>
      <c r="B31" t="str">
        <v>Phase 2</v>
      </c>
      <c r="C31" t="str">
        <v>Homepage Sections</v>
      </c>
      <c r="D31" t="str">
        <v>Homepage hero</v>
      </c>
      <c r="E31" t="str">
        <v>Lead story + 2–4 secondary stories sourced via Section Manager (featured tag or manual picks), responsive art direction.</v>
      </c>
      <c r="F31" t="str">
        <v>P0</v>
      </c>
      <c r="G31" t="str">
        <v>Completed</v>
      </c>
      <c r="H31">
        <v>46311</v>
      </c>
      <c r="I31">
        <v>46311</v>
      </c>
      <c r="J31">
        <v>1</v>
      </c>
      <c r="K31" t="str">
        <v>P2-01</v>
      </c>
      <c r="L31" t="str">
        <v>Staging (Hostinger)</v>
      </c>
      <c r="M31" t="str">
        <v>template-parts/sections/hero.php</v>
      </c>
      <c r="N31" t="str">
        <v>Change hero source; check mobile crop and title wrapping in Arabic</v>
      </c>
      <c r="O31" t="str">
        <v>Hero is editor-controlled and renders well on all breakpoints</v>
      </c>
      <c r="Q31" t="str">
        <v>Hero grid: chamber + magazine slider + interviews + personality + logistics widgets.</v>
      </c>
      <c r="R31">
        <v>46306</v>
      </c>
      <c r="S31" t="str">
        <v>None</v>
      </c>
      <c r="T31" t="str">
        <v>Not Tested</v>
      </c>
      <c r="U31">
        <f>IF(A31="",0,IF(G31="Completed",1,IF(G31="Not Started",0,MIN(0.99,N(J31)))))</f>
        <v>0</v>
      </c>
      <c r="V31">
        <f>IF(OR(A31="",H31="",I31=""),0,MAX(0,MIN(1,(StatusDate-H31+1)/(I31-H31+1))))</f>
        <v>0</v>
      </c>
      <c r="W31">
        <f>IF(OR(A31="",I31="",G31="Completed"),"",I31-StatusDate)</f>
        <v>5</v>
      </c>
      <c r="X31" t="str">
        <f>IF(A31="","",IF(AND(G31&lt;&gt;"Completed",I31&lt;&gt;"",I31&lt;StatusDate),"OVERDUE",""))</f>
        <v/>
      </c>
      <c r="Y31" t="str">
        <f>IF(OR(A31="",K31=""),"",IF(SUMPRODUCT(($A$6:$A$400&lt;&gt;"")*ISNUMBER(SEARCH($A$6:$A$400,K31))*($G$6:$G$400&lt;&gt;"Completed"))=0,"✓ Ready","⏳ "&amp;SUMPRODUCT(($A$6:$A$400&lt;&gt;"")*ISNUMBER(SEARCH($A$6:$A$400,K31))*($G$6:$G$400&lt;&gt;"Completed"))&amp;" open"))</f>
        <v>⏳ 1 open</v>
      </c>
      <c r="Z31" t="str">
        <f>IF(A31="","",B31&amp;"|"&amp;COUNTIFS($B$6:B31,B31,$A$6:A31,"?*"))</f>
        <v>Phase 2|9</v>
      </c>
      <c r="AA31">
        <f>IF(OR(A31="",I31="",G31="Completed"),"",IF(I31&gt;=StatusDate,I31+ROW()/100000,""))</f>
        <v>46311.00031</v>
      </c>
      <c r="AB31" t="str">
        <f>IF(A31="","",IF(AND(G31&lt;&gt;"Completed",OR(G31="Blocked",AND(TRIM(P31)&lt;&gt;"",P31&lt;&gt;"None"))),ROW(),""))</f>
        <v/>
      </c>
      <c r="AC31" t="str">
        <f>IF(A31="","",IF(G31="Completed","Done",IF(G31="Blocked","Blocked",IF(X31="OVERDUE","Overdue",IF(AND(W31&lt;&gt;"",W31&lt;=2),"Due soon",IF(AND(Y31&lt;&gt;"",LEFT(Y31,1)="⏳",G31&lt;&gt;"Not Started"),"Dependency open",IF(AND(S31&lt;&gt;"None",S31&lt;&gt;"",G31&lt;&gt;"Completed"),"External req.","On track")))))))</f>
        <v>On track</v>
      </c>
    </row>
    <row r="32">
      <c r="A32" t="str">
        <v>P2-10</v>
      </c>
      <c r="B32" t="str">
        <v>Phase 2</v>
      </c>
      <c r="C32" t="str">
        <v>Homepage Sections</v>
      </c>
      <c r="D32" t="str">
        <v>Breaking news ticker</v>
      </c>
      <c r="E32" t="str">
        <v>Source tag/category (e.g. 'عاجل'); Vanilla JS RTL marquee; pause on hover/focus; reduced-motion fallback; hidden when empty.</v>
      </c>
      <c r="F32" t="str">
        <v>P0</v>
      </c>
      <c r="G32" t="str">
        <v>Not Started</v>
      </c>
      <c r="H32">
        <v>46311</v>
      </c>
      <c r="I32">
        <v>46311</v>
      </c>
      <c r="J32">
        <v>0</v>
      </c>
      <c r="K32" t="str">
        <v>P2-01</v>
      </c>
      <c r="L32" t="str">
        <v>Staging (Hostinger)</v>
      </c>
      <c r="M32" t="str">
        <v>template-parts/sections/ticker.php, assets/js/modules/ticker.js</v>
      </c>
      <c r="N32" t="str">
        <v>Add/remove breaking tag; test RTL scroll direction, hover pause, reduced motion</v>
      </c>
      <c r="O32" t="str">
        <v>Ticker updates from WordPress, scrolls RTL and is accessible</v>
      </c>
      <c r="S32" t="str">
        <v>None</v>
      </c>
      <c r="T32" t="str">
        <v>Not Tested</v>
      </c>
      <c r="U32">
        <f>IF(A32="",0,IF(G32="Completed",1,IF(G32="Not Started",0,MIN(0.99,N(J32)))))</f>
        <v>0</v>
      </c>
      <c r="V32">
        <f>IF(OR(A32="",H32="",I32=""),0,MAX(0,MIN(1,(StatusDate-H32+1)/(I32-H32+1))))</f>
        <v>0</v>
      </c>
      <c r="W32">
        <f>IF(OR(A32="",I32="",G32="Completed"),"",I32-StatusDate)</f>
        <v>5</v>
      </c>
      <c r="X32" t="str">
        <f>IF(A32="","",IF(AND(G32&lt;&gt;"Completed",I32&lt;&gt;"",I32&lt;StatusDate),"OVERDUE",""))</f>
        <v/>
      </c>
      <c r="Y32" t="str">
        <f>IF(OR(A32="",K32=""),"",IF(SUMPRODUCT(($A$6:$A$400&lt;&gt;"")*ISNUMBER(SEARCH($A$6:$A$400,K32))*($G$6:$G$400&lt;&gt;"Completed"))=0,"✓ Ready","⏳ "&amp;SUMPRODUCT(($A$6:$A$400&lt;&gt;"")*ISNUMBER(SEARCH($A$6:$A$400,K32))*($G$6:$G$400&lt;&gt;"Completed"))&amp;" open"))</f>
        <v>⏳ 1 open</v>
      </c>
      <c r="Z32" t="str">
        <f>IF(A32="","",B32&amp;"|"&amp;COUNTIFS($B$6:B32,B32,$A$6:A32,"?*"))</f>
        <v>Phase 2|10</v>
      </c>
      <c r="AA32">
        <f>IF(OR(A32="",I32="",G32="Completed"),"",IF(I32&gt;=StatusDate,I32+ROW()/100000,""))</f>
        <v>46311.00032</v>
      </c>
      <c r="AB32" t="str">
        <f>IF(A32="","",IF(AND(G32&lt;&gt;"Completed",OR(G32="Blocked",AND(TRIM(P32)&lt;&gt;"",P32&lt;&gt;"None"))),ROW(),""))</f>
        <v/>
      </c>
      <c r="AC32" t="str">
        <f>IF(A32="","",IF(G32="Completed","Done",IF(G32="Blocked","Blocked",IF(X32="OVERDUE","Overdue",IF(AND(W32&lt;&gt;"",W32&lt;=2),"Due soon",IF(AND(Y32&lt;&gt;"",LEFT(Y32,1)="⏳",G32&lt;&gt;"Not Started"),"Dependency open",IF(AND(S32&lt;&gt;"None",S32&lt;&gt;"",G32&lt;&gt;"Completed"),"External req.","On track")))))))</f>
        <v>On track</v>
      </c>
    </row>
    <row r="33">
      <c r="A33" t="str">
        <v>P2-11</v>
      </c>
      <c r="B33" t="str">
        <v>Phase 2</v>
      </c>
      <c r="C33" t="str">
        <v>Homepage Sections</v>
      </c>
      <c r="D33" t="str">
        <v>Magazine cover slider</v>
      </c>
      <c r="E33" t="str">
        <v>Latest N issues from magazine_issue CPT; touch swipe; lazy covers; links to single issue. Built with placeholders, wired once CPT exists.</v>
      </c>
      <c r="F33" t="str">
        <v>P1</v>
      </c>
      <c r="G33" t="str">
        <v>Completed</v>
      </c>
      <c r="H33">
        <v>46311</v>
      </c>
      <c r="I33">
        <v>46311</v>
      </c>
      <c r="J33">
        <v>1</v>
      </c>
      <c r="K33" t="str">
        <v>P2-01, P4-01</v>
      </c>
      <c r="L33" t="str">
        <v>Staging (Hostinger)</v>
      </c>
      <c r="M33" t="str">
        <v>template-parts/sections/cover-slider.php, assets/js/modules/slider.js</v>
      </c>
      <c r="N33" t="str">
        <v>Swipe on mobile; covers lazy-load; links open correct issue</v>
      </c>
      <c r="O33" t="str">
        <v>Slider shows latest issues automatically</v>
      </c>
      <c r="Q33" t="str">
        <v>Magazine cover slider SSR from issue CPT (fallback to posts); JS arrows only.</v>
      </c>
      <c r="R33">
        <v>46306</v>
      </c>
      <c r="S33" t="str">
        <v>None</v>
      </c>
      <c r="T33" t="str">
        <v>Not Tested</v>
      </c>
      <c r="U33">
        <f>IF(A33="",0,IF(G33="Completed",1,IF(G33="Not Started",0,MIN(0.99,N(J33)))))</f>
        <v>0</v>
      </c>
      <c r="V33">
        <f>IF(OR(A33="",H33="",I33=""),0,MAX(0,MIN(1,(StatusDate-H33+1)/(I33-H33+1))))</f>
        <v>0</v>
      </c>
      <c r="W33">
        <f>IF(OR(A33="",I33="",G33="Completed"),"",I33-StatusDate)</f>
        <v>5</v>
      </c>
      <c r="X33" t="str">
        <f>IF(A33="","",IF(AND(G33&lt;&gt;"Completed",I33&lt;&gt;"",I33&lt;StatusDate),"OVERDUE",""))</f>
        <v/>
      </c>
      <c r="Y33" t="str">
        <f>IF(OR(A33="",K33=""),"",IF(SUMPRODUCT(($A$6:$A$400&lt;&gt;"")*ISNUMBER(SEARCH($A$6:$A$400,K33))*($G$6:$G$400&lt;&gt;"Completed"))=0,"✓ Ready","⏳ "&amp;SUMPRODUCT(($A$6:$A$400&lt;&gt;"")*ISNUMBER(SEARCH($A$6:$A$400,K33))*($G$6:$G$400&lt;&gt;"Completed"))&amp;" open"))</f>
        <v>⏳ 2 open</v>
      </c>
      <c r="Z33" t="str">
        <f>IF(A33="","",B33&amp;"|"&amp;COUNTIFS($B$6:B33,B33,$A$6:A33,"?*"))</f>
        <v>Phase 2|11</v>
      </c>
      <c r="AA33">
        <f>IF(OR(A33="",I33="",G33="Completed"),"",IF(I33&gt;=StatusDate,I33+ROW()/100000,""))</f>
        <v>46311.00033</v>
      </c>
      <c r="AB33" t="str">
        <f>IF(A33="","",IF(AND(G33&lt;&gt;"Completed",OR(G33="Blocked",AND(TRIM(P33)&lt;&gt;"",P33&lt;&gt;"None"))),ROW(),""))</f>
        <v/>
      </c>
      <c r="AC33" t="str">
        <f>IF(A33="","",IF(G33="Completed","Done",IF(G33="Blocked","Blocked",IF(X33="OVERDUE","Overdue",IF(AND(W33&lt;&gt;"",W33&lt;=2),"Due soon",IF(AND(Y33&lt;&gt;"",LEFT(Y33,1)="⏳",G33&lt;&gt;"Not Started"),"Dependency open",IF(AND(S33&lt;&gt;"None",S33&lt;&gt;"",G33&lt;&gt;"Completed"),"External req.","On track")))))))</f>
        <v>On track</v>
      </c>
    </row>
    <row r="34">
      <c r="A34" t="str">
        <v>P2-12</v>
      </c>
      <c r="B34" t="str">
        <v>Phase 2</v>
      </c>
      <c r="C34" t="str">
        <v>Homepage Sections</v>
      </c>
      <c r="D34" t="str">
        <v>Chamber section</v>
      </c>
      <c r="E34" t="str">
        <v>Chamber news block with configurable source and layout.</v>
      </c>
      <c r="F34" t="str">
        <v>P1</v>
      </c>
      <c r="G34" t="str">
        <v>Completed</v>
      </c>
      <c r="H34">
        <v>46311</v>
      </c>
      <c r="I34">
        <v>46311</v>
      </c>
      <c r="J34">
        <v>1</v>
      </c>
      <c r="K34" t="str">
        <v>P2-01</v>
      </c>
      <c r="L34" t="str">
        <v>Staging (Hostinger)</v>
      </c>
      <c r="M34" t="str">
        <v>template-parts/sections/*</v>
      </c>
      <c r="N34" t="str">
        <v>Configure source and layout; verify output</v>
      </c>
      <c r="O34" t="str">
        <v>Chamber section renders configured posts</v>
      </c>
      <c r="Q34" t="str">
        <v>Chamber column widget with configurable source/count.</v>
      </c>
      <c r="R34">
        <v>46306</v>
      </c>
      <c r="S34" t="str">
        <v>None</v>
      </c>
      <c r="T34" t="str">
        <v>Not Tested</v>
      </c>
      <c r="U34">
        <f>IF(A34="",0,IF(G34="Completed",1,IF(G34="Not Started",0,MIN(0.99,N(J34)))))</f>
        <v>0</v>
      </c>
      <c r="V34">
        <f>IF(OR(A34="",H34="",I34=""),0,MAX(0,MIN(1,(StatusDate-H34+1)/(I34-H34+1))))</f>
        <v>0</v>
      </c>
      <c r="W34">
        <f>IF(OR(A34="",I34="",G34="Completed"),"",I34-StatusDate)</f>
        <v>5</v>
      </c>
      <c r="X34" t="str">
        <f>IF(A34="","",IF(AND(G34&lt;&gt;"Completed",I34&lt;&gt;"",I34&lt;StatusDate),"OVERDUE",""))</f>
        <v/>
      </c>
      <c r="Y34" t="str">
        <f>IF(OR(A34="",K34=""),"",IF(SUMPRODUCT(($A$6:$A$400&lt;&gt;"")*ISNUMBER(SEARCH($A$6:$A$400,K34))*($G$6:$G$400&lt;&gt;"Completed"))=0,"✓ Ready","⏳ "&amp;SUMPRODUCT(($A$6:$A$400&lt;&gt;"")*ISNUMBER(SEARCH($A$6:$A$400,K34))*($G$6:$G$400&lt;&gt;"Completed"))&amp;" open"))</f>
        <v>⏳ 1 open</v>
      </c>
      <c r="Z34" t="str">
        <f>IF(A34="","",B34&amp;"|"&amp;COUNTIFS($B$6:B34,B34,$A$6:A34,"?*"))</f>
        <v>Phase 2|12</v>
      </c>
      <c r="AA34">
        <f>IF(OR(A34="",I34="",G34="Completed"),"",IF(I34&gt;=StatusDate,I34+ROW()/100000,""))</f>
        <v>46311.00034</v>
      </c>
      <c r="AB34" t="str">
        <f>IF(A34="","",IF(AND(G34&lt;&gt;"Completed",OR(G34="Blocked",AND(TRIM(P34)&lt;&gt;"",P34&lt;&gt;"None"))),ROW(),""))</f>
        <v/>
      </c>
      <c r="AC34" t="str">
        <f>IF(A34="","",IF(G34="Completed","Done",IF(G34="Blocked","Blocked",IF(X34="OVERDUE","Overdue",IF(AND(W34&lt;&gt;"",W34&lt;=2),"Due soon",IF(AND(Y34&lt;&gt;"",LEFT(Y34,1)="⏳",G34&lt;&gt;"Not Started"),"Dependency open",IF(AND(S34&lt;&gt;"None",S34&lt;&gt;"",G34&lt;&gt;"Completed"),"External req.","On track")))))))</f>
        <v>On track</v>
      </c>
    </row>
    <row r="35">
      <c r="A35" t="str">
        <v>P2-13</v>
      </c>
      <c r="B35" t="str">
        <v>Phase 2</v>
      </c>
      <c r="C35" t="str">
        <v>Homepage Sections</v>
      </c>
      <c r="D35" t="str">
        <v>Opinion / columnists section</v>
      </c>
      <c r="E35" t="str">
        <v>Columnist cards with author avatar, name and column title; links to author profiles.</v>
      </c>
      <c r="F35" t="str">
        <v>P1</v>
      </c>
      <c r="G35" t="str">
        <v>Not Started</v>
      </c>
      <c r="H35">
        <v>46311</v>
      </c>
      <c r="I35">
        <v>46311</v>
      </c>
      <c r="J35">
        <v>0</v>
      </c>
      <c r="K35" t="str">
        <v>P2-01</v>
      </c>
      <c r="L35" t="str">
        <v>Staging (Hostinger)</v>
      </c>
      <c r="M35" t="str">
        <v>template-parts/sections/opinion.php</v>
      </c>
      <c r="N35" t="str">
        <v>Check avatars, author links, fallback avatar</v>
      </c>
      <c r="O35" t="str">
        <v>Opinion section shows writers with working profile links</v>
      </c>
      <c r="S35" t="str">
        <v>None</v>
      </c>
      <c r="T35" t="str">
        <v>Not Tested</v>
      </c>
      <c r="U35">
        <f>IF(A35="",0,IF(G35="Completed",1,IF(G35="Not Started",0,MIN(0.99,N(J35)))))</f>
        <v>0</v>
      </c>
      <c r="V35">
        <f>IF(OR(A35="",H35="",I35=""),0,MAX(0,MIN(1,(StatusDate-H35+1)/(I35-H35+1))))</f>
        <v>0</v>
      </c>
      <c r="W35">
        <f>IF(OR(A35="",I35="",G35="Completed"),"",I35-StatusDate)</f>
        <v>5</v>
      </c>
      <c r="X35" t="str">
        <f>IF(A35="","",IF(AND(G35&lt;&gt;"Completed",I35&lt;&gt;"",I35&lt;StatusDate),"OVERDUE",""))</f>
        <v/>
      </c>
      <c r="Y35" t="str">
        <f>IF(OR(A35="",K35=""),"",IF(SUMPRODUCT(($A$6:$A$400&lt;&gt;"")*ISNUMBER(SEARCH($A$6:$A$400,K35))*($G$6:$G$400&lt;&gt;"Completed"))=0,"✓ Ready","⏳ "&amp;SUMPRODUCT(($A$6:$A$400&lt;&gt;"")*ISNUMBER(SEARCH($A$6:$A$400,K35))*($G$6:$G$400&lt;&gt;"Completed"))&amp;" open"))</f>
        <v>⏳ 1 open</v>
      </c>
      <c r="Z35" t="str">
        <f>IF(A35="","",B35&amp;"|"&amp;COUNTIFS($B$6:B35,B35,$A$6:A35,"?*"))</f>
        <v>Phase 2|13</v>
      </c>
      <c r="AA35">
        <f>IF(OR(A35="",I35="",G35="Completed"),"",IF(I35&gt;=StatusDate,I35+ROW()/100000,""))</f>
        <v>46311.00035</v>
      </c>
      <c r="AB35" t="str">
        <f>IF(A35="","",IF(AND(G35&lt;&gt;"Completed",OR(G35="Blocked",AND(TRIM(P35)&lt;&gt;"",P35&lt;&gt;"None"))),ROW(),""))</f>
        <v/>
      </c>
      <c r="AC35" t="str">
        <f>IF(A35="","",IF(G35="Completed","Done",IF(G35="Blocked","Blocked",IF(X35="OVERDUE","Overdue",IF(AND(W35&lt;&gt;"",W35&lt;=2),"Due soon",IF(AND(Y35&lt;&gt;"",LEFT(Y35,1)="⏳",G35&lt;&gt;"Not Started"),"Dependency open",IF(AND(S35&lt;&gt;"None",S35&lt;&gt;"",G35&lt;&gt;"Completed"),"External req.","On track")))))))</f>
        <v>On track</v>
      </c>
    </row>
    <row r="36">
      <c r="A36" t="str">
        <v>P2-14</v>
      </c>
      <c r="B36" t="str">
        <v>Phase 2</v>
      </c>
      <c r="C36" t="str">
        <v>Homepage Sections</v>
      </c>
      <c r="D36" t="str">
        <v>Reports section</v>
      </c>
      <c r="E36" t="str">
        <v>Reports block with featured report + list layout.</v>
      </c>
      <c r="F36" t="str">
        <v>P1</v>
      </c>
      <c r="G36" t="str">
        <v>Not Started</v>
      </c>
      <c r="H36">
        <v>46311</v>
      </c>
      <c r="I36">
        <v>46312</v>
      </c>
      <c r="J36">
        <v>0</v>
      </c>
      <c r="K36" t="str">
        <v>P2-01</v>
      </c>
      <c r="L36" t="str">
        <v>Staging (Hostinger)</v>
      </c>
      <c r="M36" t="str">
        <v>template-parts/sections/*</v>
      </c>
      <c r="N36" t="str">
        <v>Configure; verify output and layout</v>
      </c>
      <c r="O36" t="str">
        <v>Reports section renders configured posts</v>
      </c>
      <c r="S36" t="str">
        <v>None</v>
      </c>
      <c r="T36" t="str">
        <v>Not Tested</v>
      </c>
      <c r="U36">
        <f>IF(A36="",0,IF(G36="Completed",1,IF(G36="Not Started",0,MIN(0.99,N(J36)))))</f>
        <v>0</v>
      </c>
      <c r="V36">
        <f>IF(OR(A36="",H36="",I36=""),0,MAX(0,MIN(1,(StatusDate-H36+1)/(I36-H36+1))))</f>
        <v>0</v>
      </c>
      <c r="W36">
        <f>IF(OR(A36="",I36="",G36="Completed"),"",I36-StatusDate)</f>
        <v>6</v>
      </c>
      <c r="X36" t="str">
        <f>IF(A36="","",IF(AND(G36&lt;&gt;"Completed",I36&lt;&gt;"",I36&lt;StatusDate),"OVERDUE",""))</f>
        <v/>
      </c>
      <c r="Y36" t="str">
        <f>IF(OR(A36="",K36=""),"",IF(SUMPRODUCT(($A$6:$A$400&lt;&gt;"")*ISNUMBER(SEARCH($A$6:$A$400,K36))*($G$6:$G$400&lt;&gt;"Completed"))=0,"✓ Ready","⏳ "&amp;SUMPRODUCT(($A$6:$A$400&lt;&gt;"")*ISNUMBER(SEARCH($A$6:$A$400,K36))*($G$6:$G$400&lt;&gt;"Completed"))&amp;" open"))</f>
        <v>⏳ 1 open</v>
      </c>
      <c r="Z36" t="str">
        <f>IF(A36="","",B36&amp;"|"&amp;COUNTIFS($B$6:B36,B36,$A$6:A36,"?*"))</f>
        <v>Phase 2|14</v>
      </c>
      <c r="AA36">
        <f>IF(OR(A36="",I36="",G36="Completed"),"",IF(I36&gt;=StatusDate,I36+ROW()/100000,""))</f>
        <v>46312.00036</v>
      </c>
      <c r="AB36" t="str">
        <f>IF(A36="","",IF(AND(G36&lt;&gt;"Completed",OR(G36="Blocked",AND(TRIM(P36)&lt;&gt;"",P36&lt;&gt;"None"))),ROW(),""))</f>
        <v/>
      </c>
      <c r="AC36" t="str">
        <f>IF(A36="","",IF(G36="Completed","Done",IF(G36="Blocked","Blocked",IF(X36="OVERDUE","Overdue",IF(AND(W36&lt;&gt;"",W36&lt;=2),"Due soon",IF(AND(Y36&lt;&gt;"",LEFT(Y36,1)="⏳",G36&lt;&gt;"Not Started"),"Dependency open",IF(AND(S36&lt;&gt;"None",S36&lt;&gt;"",G36&lt;&gt;"Completed"),"External req.","On track")))))))</f>
        <v>On track</v>
      </c>
    </row>
    <row r="37">
      <c r="A37" t="str">
        <v>P2-15</v>
      </c>
      <c r="B37" t="str">
        <v>Phase 2</v>
      </c>
      <c r="C37" t="str">
        <v>Homepage Sections</v>
      </c>
      <c r="D37" t="str">
        <v>Latest news &amp; article grid sections</v>
      </c>
      <c r="E37" t="str">
        <v>Generic article grids (latest news, more stories) with 'view all' link to archive.</v>
      </c>
      <c r="F37" t="str">
        <v>P0</v>
      </c>
      <c r="G37" t="str">
        <v>Completed</v>
      </c>
      <c r="H37">
        <v>46312</v>
      </c>
      <c r="I37">
        <v>46312</v>
      </c>
      <c r="J37">
        <v>1</v>
      </c>
      <c r="K37" t="str">
        <v>P2-01</v>
      </c>
      <c r="L37" t="str">
        <v>Staging (Hostinger)</v>
      </c>
      <c r="M37" t="str">
        <v>template-parts/sections/grid.php</v>
      </c>
      <c r="N37" t="str">
        <v>Verify counts, links and de-duplication</v>
      </c>
      <c r="O37" t="str">
        <v>Article grids render and link to archives</v>
      </c>
      <c r="Q37" t="str">
        <v>Followups + grids via article_grid widget; «المزيد» archive links.</v>
      </c>
      <c r="R37">
        <v>46306</v>
      </c>
      <c r="S37" t="str">
        <v>None</v>
      </c>
      <c r="T37" t="str">
        <v>Not Tested</v>
      </c>
      <c r="U37">
        <f>IF(A37="",0,IF(G37="Completed",1,IF(G37="Not Started",0,MIN(0.99,N(J37)))))</f>
        <v>0</v>
      </c>
      <c r="V37">
        <f>IF(OR(A37="",H37="",I37=""),0,MAX(0,MIN(1,(StatusDate-H37+1)/(I37-H37+1))))</f>
        <v>0</v>
      </c>
      <c r="W37">
        <f>IF(OR(A37="",I37="",G37="Completed"),"",I37-StatusDate)</f>
        <v>6</v>
      </c>
      <c r="X37" t="str">
        <f>IF(A37="","",IF(AND(G37&lt;&gt;"Completed",I37&lt;&gt;"",I37&lt;StatusDate),"OVERDUE",""))</f>
        <v/>
      </c>
      <c r="Y37" t="str">
        <f>IF(OR(A37="",K37=""),"",IF(SUMPRODUCT(($A$6:$A$400&lt;&gt;"")*ISNUMBER(SEARCH($A$6:$A$400,K37))*($G$6:$G$400&lt;&gt;"Completed"))=0,"✓ Ready","⏳ "&amp;SUMPRODUCT(($A$6:$A$400&lt;&gt;"")*ISNUMBER(SEARCH($A$6:$A$400,K37))*($G$6:$G$400&lt;&gt;"Completed"))&amp;" open"))</f>
        <v>⏳ 1 open</v>
      </c>
      <c r="Z37" t="str">
        <f>IF(A37="","",B37&amp;"|"&amp;COUNTIFS($B$6:B37,B37,$A$6:A37,"?*"))</f>
        <v>Phase 2|15</v>
      </c>
      <c r="AA37">
        <f>IF(OR(A37="",I37="",G37="Completed"),"",IF(I37&gt;=StatusDate,I37+ROW()/100000,""))</f>
        <v>46312.00037</v>
      </c>
      <c r="AB37" t="str">
        <f>IF(A37="","",IF(AND(G37&lt;&gt;"Completed",OR(G37="Blocked",AND(TRIM(P37)&lt;&gt;"",P37&lt;&gt;"None"))),ROW(),""))</f>
        <v/>
      </c>
      <c r="AC37" t="str">
        <f>IF(A37="","",IF(G37="Completed","Done",IF(G37="Blocked","Blocked",IF(X37="OVERDUE","Overdue",IF(AND(W37&lt;&gt;"",W37&lt;=2),"Due soon",IF(AND(Y37&lt;&gt;"",LEFT(Y37,1)="⏳",G37&lt;&gt;"Not Started"),"Dependency open",IF(AND(S37&lt;&gt;"None",S37&lt;&gt;"",G37&lt;&gt;"Completed"),"External req.","On track")))))))</f>
        <v>On track</v>
      </c>
    </row>
    <row r="38">
      <c r="A38" t="str">
        <v>P2-16</v>
      </c>
      <c r="B38" t="str">
        <v>Phase 2</v>
      </c>
      <c r="C38" t="str">
        <v>Sector Sections</v>
      </c>
      <c r="D38" t="str">
        <v>Business section</v>
      </c>
      <c r="E38" t="str">
        <v>Configure and style Business section via Section Manager.</v>
      </c>
      <c r="F38" t="str">
        <v>P1</v>
      </c>
      <c r="G38" t="str">
        <v>Completed</v>
      </c>
      <c r="H38">
        <v>46312</v>
      </c>
      <c r="I38">
        <v>46312</v>
      </c>
      <c r="J38">
        <v>1</v>
      </c>
      <c r="K38" t="str">
        <v>P2-15</v>
      </c>
      <c r="L38" t="str">
        <v>Staging (Hostinger)</v>
      </c>
      <c r="M38" t="str">
        <v>template-parts/sections/*</v>
      </c>
      <c r="N38" t="str">
        <v>Verify source, count, layout</v>
      </c>
      <c r="O38" t="str">
        <v>Section live and editor-configurable</v>
      </c>
      <c r="Q38" t="str">
        <v>Business → split_sector widget instance.</v>
      </c>
      <c r="R38">
        <v>46306</v>
      </c>
      <c r="S38" t="str">
        <v>None</v>
      </c>
      <c r="T38" t="str">
        <v>Not Tested</v>
      </c>
      <c r="U38">
        <f>IF(A38="",0,IF(G38="Completed",1,IF(G38="Not Started",0,MIN(0.99,N(J38)))))</f>
        <v>0</v>
      </c>
      <c r="V38">
        <f>IF(OR(A38="",H38="",I38=""),0,MAX(0,MIN(1,(StatusDate-H38+1)/(I38-H38+1))))</f>
        <v>0</v>
      </c>
      <c r="W38">
        <f>IF(OR(A38="",I38="",G38="Completed"),"",I38-StatusDate)</f>
        <v>6</v>
      </c>
      <c r="X38" t="str">
        <f>IF(A38="","",IF(AND(G38&lt;&gt;"Completed",I38&lt;&gt;"",I38&lt;StatusDate),"OVERDUE",""))</f>
        <v/>
      </c>
      <c r="Y38" t="str">
        <f>IF(OR(A38="",K38=""),"",IF(SUMPRODUCT(($A$6:$A$400&lt;&gt;"")*ISNUMBER(SEARCH($A$6:$A$400,K38))*($G$6:$G$400&lt;&gt;"Completed"))=0,"✓ Ready","⏳ "&amp;SUMPRODUCT(($A$6:$A$400&lt;&gt;"")*ISNUMBER(SEARCH($A$6:$A$400,K38))*($G$6:$G$400&lt;&gt;"Completed"))&amp;" open"))</f>
        <v>⏳ 1 open</v>
      </c>
      <c r="Z38" t="str">
        <f>IF(A38="","",B38&amp;"|"&amp;COUNTIFS($B$6:B38,B38,$A$6:A38,"?*"))</f>
        <v>Phase 2|16</v>
      </c>
      <c r="AA38">
        <f>IF(OR(A38="",I38="",G38="Completed"),"",IF(I38&gt;=StatusDate,I38+ROW()/100000,""))</f>
        <v>46312.00038</v>
      </c>
      <c r="AB38" t="str">
        <f>IF(A38="","",IF(AND(G38&lt;&gt;"Completed",OR(G38="Blocked",AND(TRIM(P38)&lt;&gt;"",P38&lt;&gt;"None"))),ROW(),""))</f>
        <v/>
      </c>
      <c r="AC38" t="str">
        <f>IF(A38="","",IF(G38="Completed","Done",IF(G38="Blocked","Blocked",IF(X38="OVERDUE","Overdue",IF(AND(W38&lt;&gt;"",W38&lt;=2),"Due soon",IF(AND(Y38&lt;&gt;"",LEFT(Y38,1)="⏳",G38&lt;&gt;"Not Started"),"Dependency open",IF(AND(S38&lt;&gt;"None",S38&lt;&gt;"",G38&lt;&gt;"Completed"),"External req.","On track")))))))</f>
        <v>On track</v>
      </c>
    </row>
    <row r="39">
      <c r="A39" t="str">
        <v>P2-17</v>
      </c>
      <c r="B39" t="str">
        <v>Phase 2</v>
      </c>
      <c r="C39" t="str">
        <v>Sector Sections</v>
      </c>
      <c r="D39" t="str">
        <v>Real Estate section</v>
      </c>
      <c r="E39" t="str">
        <v>Configure and style Real Estate section via Section Manager.</v>
      </c>
      <c r="F39" t="str">
        <v>P1</v>
      </c>
      <c r="G39" t="str">
        <v>Completed</v>
      </c>
      <c r="H39">
        <v>46312</v>
      </c>
      <c r="I39">
        <v>46312</v>
      </c>
      <c r="J39">
        <v>1</v>
      </c>
      <c r="K39" t="str">
        <v>P2-15</v>
      </c>
      <c r="L39" t="str">
        <v>Staging (Hostinger)</v>
      </c>
      <c r="M39" t="str">
        <v>template-parts/sections/*</v>
      </c>
      <c r="N39" t="str">
        <v>Verify source, count, layout</v>
      </c>
      <c r="O39" t="str">
        <v>Section live and editor-configurable</v>
      </c>
      <c r="Q39" t="str">
        <v>Prototype/PDF sector pair uses Energy (not Real Estate label). Implemented as energy split_sector beside business — same widget pattern.</v>
      </c>
      <c r="R39">
        <v>46306</v>
      </c>
      <c r="S39" t="str">
        <v>None</v>
      </c>
      <c r="T39" t="str">
        <v>Not Tested</v>
      </c>
      <c r="U39">
        <f>IF(A39="",0,IF(G39="Completed",1,IF(G39="Not Started",0,MIN(0.99,N(J39)))))</f>
        <v>0</v>
      </c>
      <c r="V39">
        <f>IF(OR(A39="",H39="",I39=""),0,MAX(0,MIN(1,(StatusDate-H39+1)/(I39-H39+1))))</f>
        <v>0</v>
      </c>
      <c r="W39">
        <f>IF(OR(A39="",I39="",G39="Completed"),"",I39-StatusDate)</f>
        <v>6</v>
      </c>
      <c r="X39" t="str">
        <f>IF(A39="","",IF(AND(G39&lt;&gt;"Completed",I39&lt;&gt;"",I39&lt;StatusDate),"OVERDUE",""))</f>
        <v/>
      </c>
      <c r="Y39" t="str">
        <f>IF(OR(A39="",K39=""),"",IF(SUMPRODUCT(($A$6:$A$400&lt;&gt;"")*ISNUMBER(SEARCH($A$6:$A$400,K39))*($G$6:$G$400&lt;&gt;"Completed"))=0,"✓ Ready","⏳ "&amp;SUMPRODUCT(($A$6:$A$400&lt;&gt;"")*ISNUMBER(SEARCH($A$6:$A$400,K39))*($G$6:$G$400&lt;&gt;"Completed"))&amp;" open"))</f>
        <v>⏳ 1 open</v>
      </c>
      <c r="Z39" t="str">
        <f>IF(A39="","",B39&amp;"|"&amp;COUNTIFS($B$6:B39,B39,$A$6:A39,"?*"))</f>
        <v>Phase 2|17</v>
      </c>
      <c r="AA39">
        <f>IF(OR(A39="",I39="",G39="Completed"),"",IF(I39&gt;=StatusDate,I39+ROW()/100000,""))</f>
        <v>46312.00039</v>
      </c>
      <c r="AB39" t="str">
        <f>IF(A39="","",IF(AND(G39&lt;&gt;"Completed",OR(G39="Blocked",AND(TRIM(P39)&lt;&gt;"",P39&lt;&gt;"None"))),ROW(),""))</f>
        <v/>
      </c>
      <c r="AC39" t="str">
        <f>IF(A39="","",IF(G39="Completed","Done",IF(G39="Blocked","Blocked",IF(X39="OVERDUE","Overdue",IF(AND(W39&lt;&gt;"",W39&lt;=2),"Due soon",IF(AND(Y39&lt;&gt;"",LEFT(Y39,1)="⏳",G39&lt;&gt;"Not Started"),"Dependency open",IF(AND(S39&lt;&gt;"None",S39&lt;&gt;"",G39&lt;&gt;"Completed"),"External req.","On track")))))))</f>
        <v>On track</v>
      </c>
    </row>
    <row r="40">
      <c r="A40" t="str">
        <v>P2-18</v>
      </c>
      <c r="B40" t="str">
        <v>Phase 2</v>
      </c>
      <c r="C40" t="str">
        <v>Sector Sections</v>
      </c>
      <c r="D40" t="str">
        <v>Automotive section</v>
      </c>
      <c r="E40" t="str">
        <v>Configure and style Automotive section via Section Manager.</v>
      </c>
      <c r="F40" t="str">
        <v>P1</v>
      </c>
      <c r="G40" t="str">
        <v>Completed</v>
      </c>
      <c r="H40">
        <v>46312</v>
      </c>
      <c r="I40">
        <v>46312</v>
      </c>
      <c r="J40">
        <v>1</v>
      </c>
      <c r="K40" t="str">
        <v>P2-15</v>
      </c>
      <c r="L40" t="str">
        <v>Staging (Hostinger)</v>
      </c>
      <c r="M40" t="str">
        <v>template-parts/sections/*</v>
      </c>
      <c r="N40" t="str">
        <v>Verify source, count, layout</v>
      </c>
      <c r="O40" t="str">
        <v>Section live and editor-configurable</v>
      </c>
      <c r="Q40" t="str">
        <v>Automotive article_grid section.</v>
      </c>
      <c r="R40">
        <v>46306</v>
      </c>
      <c r="S40" t="str">
        <v>None</v>
      </c>
      <c r="T40" t="str">
        <v>Not Tested</v>
      </c>
      <c r="U40">
        <f>IF(A40="",0,IF(G40="Completed",1,IF(G40="Not Started",0,MIN(0.99,N(J40)))))</f>
        <v>0</v>
      </c>
      <c r="V40">
        <f>IF(OR(A40="",H40="",I40=""),0,MAX(0,MIN(1,(StatusDate-H40+1)/(I40-H40+1))))</f>
        <v>0</v>
      </c>
      <c r="W40">
        <f>IF(OR(A40="",I40="",G40="Completed"),"",I40-StatusDate)</f>
        <v>6</v>
      </c>
      <c r="X40" t="str">
        <f>IF(A40="","",IF(AND(G40&lt;&gt;"Completed",I40&lt;&gt;"",I40&lt;StatusDate),"OVERDUE",""))</f>
        <v/>
      </c>
      <c r="Y40" t="str">
        <f>IF(OR(A40="",K40=""),"",IF(SUMPRODUCT(($A$6:$A$400&lt;&gt;"")*ISNUMBER(SEARCH($A$6:$A$400,K40))*($G$6:$G$400&lt;&gt;"Completed"))=0,"✓ Ready","⏳ "&amp;SUMPRODUCT(($A$6:$A$400&lt;&gt;"")*ISNUMBER(SEARCH($A$6:$A$400,K40))*($G$6:$G$400&lt;&gt;"Completed"))&amp;" open"))</f>
        <v>⏳ 1 open</v>
      </c>
      <c r="Z40" t="str">
        <f>IF(A40="","",B40&amp;"|"&amp;COUNTIFS($B$6:B40,B40,$A$6:A40,"?*"))</f>
        <v>Phase 2|18</v>
      </c>
      <c r="AA40">
        <f>IF(OR(A40="",I40="",G40="Completed"),"",IF(I40&gt;=StatusDate,I40+ROW()/100000,""))</f>
        <v>46312.0004</v>
      </c>
      <c r="AB40" t="str">
        <f>IF(A40="","",IF(AND(G40&lt;&gt;"Completed",OR(G40="Blocked",AND(TRIM(P40)&lt;&gt;"",P40&lt;&gt;"None"))),ROW(),""))</f>
        <v/>
      </c>
      <c r="AC40" t="str">
        <f>IF(A40="","",IF(G40="Completed","Done",IF(G40="Blocked","Blocked",IF(X40="OVERDUE","Overdue",IF(AND(W40&lt;&gt;"",W40&lt;=2),"Due soon",IF(AND(Y40&lt;&gt;"",LEFT(Y40,1)="⏳",G40&lt;&gt;"Not Started"),"Dependency open",IF(AND(S40&lt;&gt;"None",S40&lt;&gt;"",G40&lt;&gt;"Completed"),"External req.","On track")))))))</f>
        <v>On track</v>
      </c>
    </row>
    <row r="41">
      <c r="A41" t="str">
        <v>P2-19</v>
      </c>
      <c r="B41" t="str">
        <v>Phase 2</v>
      </c>
      <c r="C41" t="str">
        <v>Sector Sections</v>
      </c>
      <c r="D41" t="str">
        <v>Technology section</v>
      </c>
      <c r="E41" t="str">
        <v>Configure and style Technology section via Section Manager.</v>
      </c>
      <c r="F41" t="str">
        <v>P1</v>
      </c>
      <c r="G41" t="str">
        <v>Completed</v>
      </c>
      <c r="H41">
        <v>46312</v>
      </c>
      <c r="I41">
        <v>46312</v>
      </c>
      <c r="J41">
        <v>1</v>
      </c>
      <c r="K41" t="str">
        <v>P2-15</v>
      </c>
      <c r="L41" t="str">
        <v>Staging (Hostinger)</v>
      </c>
      <c r="M41" t="str">
        <v>template-parts/sections/*</v>
      </c>
      <c r="N41" t="str">
        <v>Verify source, count, layout</v>
      </c>
      <c r="O41" t="str">
        <v>Section live and editor-configurable</v>
      </c>
      <c r="Q41" t="str">
        <v>Technology cars_row + Most Read companion restored from prototype.</v>
      </c>
      <c r="R41">
        <v>46306</v>
      </c>
      <c r="S41" t="str">
        <v>None</v>
      </c>
      <c r="T41" t="str">
        <v>Not Tested</v>
      </c>
      <c r="U41">
        <f>IF(A41="",0,IF(G41="Completed",1,IF(G41="Not Started",0,MIN(0.99,N(J41)))))</f>
        <v>0</v>
      </c>
      <c r="V41">
        <f>IF(OR(A41="",H41="",I41=""),0,MAX(0,MIN(1,(StatusDate-H41+1)/(I41-H41+1))))</f>
        <v>0</v>
      </c>
      <c r="W41">
        <f>IF(OR(A41="",I41="",G41="Completed"),"",I41-StatusDate)</f>
        <v>6</v>
      </c>
      <c r="X41" t="str">
        <f>IF(A41="","",IF(AND(G41&lt;&gt;"Completed",I41&lt;&gt;"",I41&lt;StatusDate),"OVERDUE",""))</f>
        <v/>
      </c>
      <c r="Y41" t="str">
        <f>IF(OR(A41="",K41=""),"",IF(SUMPRODUCT(($A$6:$A$400&lt;&gt;"")*ISNUMBER(SEARCH($A$6:$A$400,K41))*($G$6:$G$400&lt;&gt;"Completed"))=0,"✓ Ready","⏳ "&amp;SUMPRODUCT(($A$6:$A$400&lt;&gt;"")*ISNUMBER(SEARCH($A$6:$A$400,K41))*($G$6:$G$400&lt;&gt;"Completed"))&amp;" open"))</f>
        <v>⏳ 1 open</v>
      </c>
      <c r="Z41" t="str">
        <f>IF(A41="","",B41&amp;"|"&amp;COUNTIFS($B$6:B41,B41,$A$6:A41,"?*"))</f>
        <v>Phase 2|19</v>
      </c>
      <c r="AA41">
        <f>IF(OR(A41="",I41="",G41="Completed"),"",IF(I41&gt;=StatusDate,I41+ROW()/100000,""))</f>
        <v>46312.00041</v>
      </c>
      <c r="AB41" t="str">
        <f>IF(A41="","",IF(AND(G41&lt;&gt;"Completed",OR(G41="Blocked",AND(TRIM(P41)&lt;&gt;"",P41&lt;&gt;"None"))),ROW(),""))</f>
        <v/>
      </c>
      <c r="AC41" t="str">
        <f>IF(A41="","",IF(G41="Completed","Done",IF(G41="Blocked","Blocked",IF(X41="OVERDUE","Overdue",IF(AND(W41&lt;&gt;"",W41&lt;=2),"Due soon",IF(AND(Y41&lt;&gt;"",LEFT(Y41,1)="⏳",G41&lt;&gt;"Not Started"),"Dependency open",IF(AND(S41&lt;&gt;"None",S41&lt;&gt;"",G41&lt;&gt;"Completed"),"External req.","On track")))))))</f>
        <v>On track</v>
      </c>
    </row>
    <row r="42">
      <c r="A42" t="str">
        <v>P2-20</v>
      </c>
      <c r="B42" t="str">
        <v>Phase 2</v>
      </c>
      <c r="C42" t="str">
        <v>Sector Sections</v>
      </c>
      <c r="D42" t="str">
        <v>Healthcare section</v>
      </c>
      <c r="E42" t="str">
        <v>Configure and style Healthcare section via Section Manager.</v>
      </c>
      <c r="F42" t="str">
        <v>P1</v>
      </c>
      <c r="G42" t="str">
        <v>Completed</v>
      </c>
      <c r="H42">
        <v>46312</v>
      </c>
      <c r="I42">
        <v>46312</v>
      </c>
      <c r="J42">
        <v>1</v>
      </c>
      <c r="K42" t="str">
        <v>P2-15</v>
      </c>
      <c r="L42" t="str">
        <v>Staging (Hostinger)</v>
      </c>
      <c r="M42" t="str">
        <v>template-parts/sections/*</v>
      </c>
      <c r="N42" t="str">
        <v>Verify source, count, layout</v>
      </c>
      <c r="O42" t="str">
        <v>Section live and editor-configurable</v>
      </c>
      <c r="Q42" t="str">
        <v>Healthcare (صحة) split_sector.</v>
      </c>
      <c r="R42">
        <v>46306</v>
      </c>
      <c r="S42" t="str">
        <v>None</v>
      </c>
      <c r="T42" t="str">
        <v>Not Tested</v>
      </c>
      <c r="U42">
        <f>IF(A42="",0,IF(G42="Completed",1,IF(G42="Not Started",0,MIN(0.99,N(J42)))))</f>
        <v>0</v>
      </c>
      <c r="V42">
        <f>IF(OR(A42="",H42="",I42=""),0,MAX(0,MIN(1,(StatusDate-H42+1)/(I42-H42+1))))</f>
        <v>0</v>
      </c>
      <c r="W42">
        <f>IF(OR(A42="",I42="",G42="Completed"),"",I42-StatusDate)</f>
        <v>6</v>
      </c>
      <c r="X42" t="str">
        <f>IF(A42="","",IF(AND(G42&lt;&gt;"Completed",I42&lt;&gt;"",I42&lt;StatusDate),"OVERDUE",""))</f>
        <v/>
      </c>
      <c r="Y42" t="str">
        <f>IF(OR(A42="",K42=""),"",IF(SUMPRODUCT(($A$6:$A$400&lt;&gt;"")*ISNUMBER(SEARCH($A$6:$A$400,K42))*($G$6:$G$400&lt;&gt;"Completed"))=0,"✓ Ready","⏳ "&amp;SUMPRODUCT(($A$6:$A$400&lt;&gt;"")*ISNUMBER(SEARCH($A$6:$A$400,K42))*($G$6:$G$400&lt;&gt;"Completed"))&amp;" open"))</f>
        <v>⏳ 1 open</v>
      </c>
      <c r="Z42" t="str">
        <f>IF(A42="","",B42&amp;"|"&amp;COUNTIFS($B$6:B42,B42,$A$6:A42,"?*"))</f>
        <v>Phase 2|20</v>
      </c>
      <c r="AA42">
        <f>IF(OR(A42="",I42="",G42="Completed"),"",IF(I42&gt;=StatusDate,I42+ROW()/100000,""))</f>
        <v>46312.00042</v>
      </c>
      <c r="AB42" t="str">
        <f>IF(A42="","",IF(AND(G42&lt;&gt;"Completed",OR(G42="Blocked",AND(TRIM(P42)&lt;&gt;"",P42&lt;&gt;"None"))),ROW(),""))</f>
        <v/>
      </c>
      <c r="AC42" t="str">
        <f>IF(A42="","",IF(G42="Completed","Done",IF(G42="Blocked","Blocked",IF(X42="OVERDUE","Overdue",IF(AND(W42&lt;&gt;"",W42&lt;=2),"Due soon",IF(AND(Y42&lt;&gt;"",LEFT(Y42,1)="⏳",G42&lt;&gt;"Not Started"),"Dependency open",IF(AND(S42&lt;&gt;"None",S42&lt;&gt;"",G42&lt;&gt;"Completed"),"External req.","On track")))))))</f>
        <v>On track</v>
      </c>
    </row>
    <row r="43">
      <c r="A43" t="str">
        <v>P2-21</v>
      </c>
      <c r="B43" t="str">
        <v>Phase 2</v>
      </c>
      <c r="C43" t="str">
        <v>Sector Sections</v>
      </c>
      <c r="D43" t="str">
        <v>Tourism section</v>
      </c>
      <c r="E43" t="str">
        <v>Configure and style Tourism section via Section Manager.</v>
      </c>
      <c r="F43" t="str">
        <v>P1</v>
      </c>
      <c r="G43" t="str">
        <v>Completed</v>
      </c>
      <c r="H43">
        <v>46312</v>
      </c>
      <c r="I43">
        <v>46312</v>
      </c>
      <c r="J43">
        <v>1</v>
      </c>
      <c r="K43" t="str">
        <v>P2-15</v>
      </c>
      <c r="L43" t="str">
        <v>Staging (Hostinger)</v>
      </c>
      <c r="M43" t="str">
        <v>template-parts/sections/*</v>
      </c>
      <c r="N43" t="str">
        <v>Verify source, count, layout</v>
      </c>
      <c r="O43" t="str">
        <v>Section live and editor-configurable</v>
      </c>
      <c r="Q43" t="str">
        <v>Tourism split_sector.</v>
      </c>
      <c r="R43">
        <v>46306</v>
      </c>
      <c r="S43" t="str">
        <v>None</v>
      </c>
      <c r="T43" t="str">
        <v>Not Tested</v>
      </c>
      <c r="U43">
        <f>IF(A43="",0,IF(G43="Completed",1,IF(G43="Not Started",0,MIN(0.99,N(J43)))))</f>
        <v>0</v>
      </c>
      <c r="V43">
        <f>IF(OR(A43="",H43="",I43=""),0,MAX(0,MIN(1,(StatusDate-H43+1)/(I43-H43+1))))</f>
        <v>0</v>
      </c>
      <c r="W43">
        <f>IF(OR(A43="",I43="",G43="Completed"),"",I43-StatusDate)</f>
        <v>6</v>
      </c>
      <c r="X43" t="str">
        <f>IF(A43="","",IF(AND(G43&lt;&gt;"Completed",I43&lt;&gt;"",I43&lt;StatusDate),"OVERDUE",""))</f>
        <v/>
      </c>
      <c r="Y43" t="str">
        <f>IF(OR(A43="",K43=""),"",IF(SUMPRODUCT(($A$6:$A$400&lt;&gt;"")*ISNUMBER(SEARCH($A$6:$A$400,K43))*($G$6:$G$400&lt;&gt;"Completed"))=0,"✓ Ready","⏳ "&amp;SUMPRODUCT(($A$6:$A$400&lt;&gt;"")*ISNUMBER(SEARCH($A$6:$A$400,K43))*($G$6:$G$400&lt;&gt;"Completed"))&amp;" open"))</f>
        <v>⏳ 1 open</v>
      </c>
      <c r="Z43" t="str">
        <f>IF(A43="","",B43&amp;"|"&amp;COUNTIFS($B$6:B43,B43,$A$6:A43,"?*"))</f>
        <v>Phase 2|21</v>
      </c>
      <c r="AA43">
        <f>IF(OR(A43="",I43="",G43="Completed"),"",IF(I43&gt;=StatusDate,I43+ROW()/100000,""))</f>
        <v>46312.00043</v>
      </c>
      <c r="AB43" t="str">
        <f>IF(A43="","",IF(AND(G43&lt;&gt;"Completed",OR(G43="Blocked",AND(TRIM(P43)&lt;&gt;"",P43&lt;&gt;"None"))),ROW(),""))</f>
        <v/>
      </c>
      <c r="AC43" t="str">
        <f>IF(A43="","",IF(G43="Completed","Done",IF(G43="Blocked","Blocked",IF(X43="OVERDUE","Overdue",IF(AND(W43&lt;&gt;"",W43&lt;=2),"Due soon",IF(AND(Y43&lt;&gt;"",LEFT(Y43,1)="⏳",G43&lt;&gt;"Not Started"),"Dependency open",IF(AND(S43&lt;&gt;"None",S43&lt;&gt;"",G43&lt;&gt;"Completed"),"External req.","On track")))))))</f>
        <v>On track</v>
      </c>
    </row>
    <row r="44">
      <c r="A44" t="str">
        <v>P2-22</v>
      </c>
      <c r="B44" t="str">
        <v>Phase 2</v>
      </c>
      <c r="C44" t="str">
        <v>Most Read</v>
      </c>
      <c r="D44" t="str">
        <v>Most-read widget &amp; view counter</v>
      </c>
      <c r="E44" t="str">
        <v>Reuse legacy JNews view meta if present (see P6-04), else lightweight counter via REST beacon (works behind page cache) with bot filtering &amp; throttling; 24h/7d/30d tabs; cached; usable as widget and homepage block.</v>
      </c>
      <c r="F44" t="str">
        <v>P0</v>
      </c>
      <c r="G44" t="str">
        <v>In Progress</v>
      </c>
      <c r="H44">
        <v>46312</v>
      </c>
      <c r="I44">
        <v>46312</v>
      </c>
      <c r="J44">
        <v>0.75</v>
      </c>
      <c r="K44" t="str">
        <v>P1-14, P6-04</v>
      </c>
      <c r="L44" t="str">
        <v>Staging (Hostinger)</v>
      </c>
      <c r="M44" t="str">
        <v>inc/most-read.php, inc/widgets/most-read-widget.php, assets/js/modules/views.js</v>
      </c>
      <c r="N44" t="str">
        <v>Open articles in private windows; counts increase once per session; tabs switch</v>
      </c>
      <c r="O44" t="str">
        <v>Most-read list accurate, cached, and works with LiteSpeed page cache</v>
      </c>
      <c r="Q44" t="str">
        <v>Most Read widget + view_period query strategy SSR. Dedicated view-counter beacon / JNews meta migration still open (P6-04).</v>
      </c>
      <c r="S44" t="str">
        <v>None</v>
      </c>
      <c r="T44" t="str">
        <v>Not Tested</v>
      </c>
      <c r="U44">
        <f>IF(A44="",0,IF(G44="Completed",1,IF(G44="Not Started",0,MIN(0.99,N(J44)))))</f>
        <v>0</v>
      </c>
      <c r="V44">
        <f>IF(OR(A44="",H44="",I44=""),0,MAX(0,MIN(1,(StatusDate-H44+1)/(I44-H44+1))))</f>
        <v>0</v>
      </c>
      <c r="W44">
        <f>IF(OR(A44="",I44="",G44="Completed"),"",I44-StatusDate)</f>
        <v>6</v>
      </c>
      <c r="X44" t="str">
        <f>IF(A44="","",IF(AND(G44&lt;&gt;"Completed",I44&lt;&gt;"",I44&lt;StatusDate),"OVERDUE",""))</f>
        <v/>
      </c>
      <c r="Y44" t="str">
        <f>IF(OR(A44="",K44=""),"",IF(SUMPRODUCT(($A$6:$A$400&lt;&gt;"")*ISNUMBER(SEARCH($A$6:$A$400,K44))*($G$6:$G$400&lt;&gt;"Completed"))=0,"✓ Ready","⏳ "&amp;SUMPRODUCT(($A$6:$A$400&lt;&gt;"")*ISNUMBER(SEARCH($A$6:$A$400,K44))*($G$6:$G$400&lt;&gt;"Completed"))&amp;" open"))</f>
        <v>⏳ 2 open</v>
      </c>
      <c r="Z44" t="str">
        <f>IF(A44="","",B44&amp;"|"&amp;COUNTIFS($B$6:B44,B44,$A$6:A44,"?*"))</f>
        <v>Phase 2|22</v>
      </c>
      <c r="AA44">
        <f>IF(OR(A44="",I44="",G44="Completed"),"",IF(I44&gt;=StatusDate,I44+ROW()/100000,""))</f>
        <v>46312.00044</v>
      </c>
      <c r="AB44" t="str">
        <f>IF(A44="","",IF(AND(G44&lt;&gt;"Completed",OR(G44="Blocked",AND(TRIM(P44)&lt;&gt;"",P44&lt;&gt;"None"))),ROW(),""))</f>
        <v/>
      </c>
      <c r="AC44" t="str">
        <f>IF(A44="","",IF(G44="Completed","Done",IF(G44="Blocked","Blocked",IF(X44="OVERDUE","Overdue",IF(AND(W44&lt;&gt;"",W44&lt;=2),"Due soon",IF(AND(Y44&lt;&gt;"",LEFT(Y44,1)="⏳",G44&lt;&gt;"Not Started"),"Dependency open",IF(AND(S44&lt;&gt;"None",S44&lt;&gt;"",G44&lt;&gt;"Completed"),"External req.","On track")))))))</f>
        <v>On track</v>
      </c>
    </row>
    <row r="45">
      <c r="A45" t="str">
        <v>P2-23</v>
      </c>
      <c r="B45" t="str">
        <v>Phase 2</v>
      </c>
      <c r="C45" t="str">
        <v>AdOps</v>
      </c>
      <c r="D45" t="str">
        <v>Homepage advertisement slots</v>
      </c>
      <c r="E45" t="str">
        <v>Leaderboard/MPU slots between sections managed via Customizer/widgets (image+link or ad code), lazy-loaded, reserved space to avoid CLS.</v>
      </c>
      <c r="F45" t="str">
        <v>P1</v>
      </c>
      <c r="G45" t="str">
        <v>In Progress</v>
      </c>
      <c r="H45">
        <v>46312</v>
      </c>
      <c r="I45">
        <v>46312</v>
      </c>
      <c r="J45">
        <v>0.35</v>
      </c>
      <c r="K45" t="str">
        <v>P2-01</v>
      </c>
      <c r="L45" t="str">
        <v>Staging (Hostinger)</v>
      </c>
      <c r="M45" t="str">
        <v>template-parts/components/ad-slot.php</v>
      </c>
      <c r="N45" t="str">
        <v>Add an ad in Customizer; check placement &amp; no layout shift</v>
      </c>
      <c r="O45" t="str">
        <v>Ads managed without code; no CLS</v>
      </c>
      <c r="Q45" t="str">
        <v>Header advertisement configurable. Between-section homepage ad slots not yet full AdOps system.</v>
      </c>
      <c r="S45" t="str">
        <v>None</v>
      </c>
      <c r="T45" t="str">
        <v>Not Tested</v>
      </c>
      <c r="U45">
        <f>IF(A45="",0,IF(G45="Completed",1,IF(G45="Not Started",0,MIN(0.99,N(J45)))))</f>
        <v>0</v>
      </c>
      <c r="V45">
        <f>IF(OR(A45="",H45="",I45=""),0,MAX(0,MIN(1,(StatusDate-H45+1)/(I45-H45+1))))</f>
        <v>0</v>
      </c>
      <c r="W45">
        <f>IF(OR(A45="",I45="",G45="Completed"),"",I45-StatusDate)</f>
        <v>6</v>
      </c>
      <c r="X45" t="str">
        <f>IF(A45="","",IF(AND(G45&lt;&gt;"Completed",I45&lt;&gt;"",I45&lt;StatusDate),"OVERDUE",""))</f>
        <v/>
      </c>
      <c r="Y45" t="str">
        <f>IF(OR(A45="",K45=""),"",IF(SUMPRODUCT(($A$6:$A$400&lt;&gt;"")*ISNUMBER(SEARCH($A$6:$A$400,K45))*($G$6:$G$400&lt;&gt;"Completed"))=0,"✓ Ready","⏳ "&amp;SUMPRODUCT(($A$6:$A$400&lt;&gt;"")*ISNUMBER(SEARCH($A$6:$A$400,K45))*($G$6:$G$400&lt;&gt;"Completed"))&amp;" open"))</f>
        <v>⏳ 1 open</v>
      </c>
      <c r="Z45" t="str">
        <f>IF(A45="","",B45&amp;"|"&amp;COUNTIFS($B$6:B45,B45,$A$6:A45,"?*"))</f>
        <v>Phase 2|23</v>
      </c>
      <c r="AA45">
        <f>IF(OR(A45="",I45="",G45="Completed"),"",IF(I45&gt;=StatusDate,I45+ROW()/100000,""))</f>
        <v>46312.00045</v>
      </c>
      <c r="AB45" t="str">
        <f>IF(A45="","",IF(AND(G45&lt;&gt;"Completed",OR(G45="Blocked",AND(TRIM(P45)&lt;&gt;"",P45&lt;&gt;"None"))),ROW(),""))</f>
        <v/>
      </c>
      <c r="AC45" t="str">
        <f>IF(A45="","",IF(G45="Completed","Done",IF(G45="Blocked","Blocked",IF(X45="OVERDUE","Overdue",IF(AND(W45&lt;&gt;"",W45&lt;=2),"Due soon",IF(AND(Y45&lt;&gt;"",LEFT(Y45,1)="⏳",G45&lt;&gt;"Not Started"),"Dependency open",IF(AND(S45&lt;&gt;"None",S45&lt;&gt;"",G45&lt;&gt;"Completed"),"External req.","On track")))))))</f>
        <v>On track</v>
      </c>
    </row>
    <row r="46">
      <c r="A46" t="str">
        <v>P2-24</v>
      </c>
      <c r="B46" t="str">
        <v>Phase 2</v>
      </c>
      <c r="C46" t="str">
        <v>Phase QA</v>
      </c>
      <c r="D46" t="str">
        <v>Homepage performance &amp; responsive sign-off</v>
      </c>
      <c r="E46" t="str">
        <v>Query Monitor (queries/time), Lighthouse mobile, RTL/responsive pass; share staging link with client for feedback.</v>
      </c>
      <c r="F46" t="str">
        <v>P0</v>
      </c>
      <c r="G46" t="str">
        <v>Not Started</v>
      </c>
      <c r="H46">
        <v>46312</v>
      </c>
      <c r="I46">
        <v>46312</v>
      </c>
      <c r="J46">
        <v>0</v>
      </c>
      <c r="K46" t="str">
        <v>P2-09, P2-10, P2-22</v>
      </c>
      <c r="L46" t="str">
        <v>Staging (Hostinger)</v>
      </c>
      <c r="M46" t="str">
        <v>front-page.php</v>
      </c>
      <c r="N46" t="str">
        <v>Lighthouse mobile run; Query Monitor warm/cold; 360/768/1440 check</v>
      </c>
      <c r="O46" t="str">
        <v>Homepage meets performance targets and is approved for Phase 3</v>
      </c>
      <c r="S46" t="str">
        <v>None</v>
      </c>
      <c r="T46" t="str">
        <v>Not Tested</v>
      </c>
      <c r="U46">
        <f>IF(A46="",0,IF(G46="Completed",1,IF(G46="Not Started",0,MIN(0.99,N(J46)))))</f>
        <v>0</v>
      </c>
      <c r="V46">
        <f>IF(OR(A46="",H46="",I46=""),0,MAX(0,MIN(1,(StatusDate-H46+1)/(I46-H46+1))))</f>
        <v>0</v>
      </c>
      <c r="W46">
        <f>IF(OR(A46="",I46="",G46="Completed"),"",I46-StatusDate)</f>
        <v>6</v>
      </c>
      <c r="X46" t="str">
        <f>IF(A46="","",IF(AND(G46&lt;&gt;"Completed",I46&lt;&gt;"",I46&lt;StatusDate),"OVERDUE",""))</f>
        <v/>
      </c>
      <c r="Y46" t="str">
        <f>IF(OR(A46="",K46=""),"",IF(SUMPRODUCT(($A$6:$A$400&lt;&gt;"")*ISNUMBER(SEARCH($A$6:$A$400,K46))*($G$6:$G$400&lt;&gt;"Completed"))=0,"✓ Ready","⏳ "&amp;SUMPRODUCT(($A$6:$A$400&lt;&gt;"")*ISNUMBER(SEARCH($A$6:$A$400,K46))*($G$6:$G$400&lt;&gt;"Completed"))&amp;" open"))</f>
        <v>⏳ 3 open</v>
      </c>
      <c r="Z46" t="str">
        <f>IF(A46="","",B46&amp;"|"&amp;COUNTIFS($B$6:B46,B46,$A$6:A46,"?*"))</f>
        <v>Phase 2|24</v>
      </c>
      <c r="AA46">
        <f>IF(OR(A46="",I46="",G46="Completed"),"",IF(I46&gt;=StatusDate,I46+ROW()/100000,""))</f>
        <v>46312.00046</v>
      </c>
      <c r="AB46" t="str">
        <f>IF(A46="","",IF(AND(G46&lt;&gt;"Completed",OR(G46="Blocked",AND(TRIM(P46)&lt;&gt;"",P46&lt;&gt;"None"))),ROW(),""))</f>
        <v/>
      </c>
      <c r="AC46" t="str">
        <f>IF(A46="","",IF(G46="Completed","Done",IF(G46="Blocked","Blocked",IF(X46="OVERDUE","Overdue",IF(AND(W46&lt;&gt;"",W46&lt;=2),"Due soon",IF(AND(Y46&lt;&gt;"",LEFT(Y46,1)="⏳",G46&lt;&gt;"Not Started"),"Dependency open",IF(AND(S46&lt;&gt;"None",S46&lt;&gt;"",G46&lt;&gt;"Completed"),"External req.","On track")))))))</f>
        <v>On track</v>
      </c>
    </row>
    <row r="47">
      <c r="A47" t="str">
        <v>P3-01</v>
      </c>
      <c r="B47" t="str">
        <v>Phase 3</v>
      </c>
      <c r="C47" t="str">
        <v>Single Article</v>
      </c>
      <c r="D47" t="str">
        <v>Single article template</v>
      </c>
      <c r="E47" t="str">
        <v>single.php: headline, subtitle/excerpt, featured image with caption &amp; credit, content typography, tags, author box, sidebar (most-read, ads).</v>
      </c>
      <c r="F47" t="str">
        <v>P0</v>
      </c>
      <c r="G47" t="str">
        <v>In Progress</v>
      </c>
      <c r="H47">
        <v>46313</v>
      </c>
      <c r="I47">
        <v>46313</v>
      </c>
      <c r="J47">
        <v>0.55</v>
      </c>
      <c r="K47" t="str">
        <v>P1-17</v>
      </c>
      <c r="L47" t="str">
        <v>Staging (Hostinger)</v>
      </c>
      <c r="M47" t="str">
        <v>single.php, template-parts/article/*.php</v>
      </c>
      <c r="N47" t="str">
        <v>Open 20 sample articles across years and categories</v>
      </c>
      <c r="O47" t="str">
        <v>Articles render correctly with full layout on all breakpoints</v>
      </c>
      <c r="Q47" t="str">
        <v>single.php SSR article shell with related/latest. Full editorial polish + sidebar widgets pending.</v>
      </c>
      <c r="S47" t="str">
        <v>None</v>
      </c>
      <c r="T47" t="str">
        <v>Not Tested</v>
      </c>
      <c r="U47">
        <f>IF(A47="",0,IF(G47="Completed",1,IF(G47="Not Started",0,MIN(0.99,N(J47)))))</f>
        <v>0</v>
      </c>
      <c r="V47">
        <f>IF(OR(A47="",H47="",I47=""),0,MAX(0,MIN(1,(StatusDate-H47+1)/(I47-H47+1))))</f>
        <v>0</v>
      </c>
      <c r="W47">
        <f>IF(OR(A47="",I47="",G47="Completed"),"",I47-StatusDate)</f>
        <v>7</v>
      </c>
      <c r="X47" t="str">
        <f>IF(A47="","",IF(AND(G47&lt;&gt;"Completed",I47&lt;&gt;"",I47&lt;StatusDate),"OVERDUE",""))</f>
        <v/>
      </c>
      <c r="Y47" t="str">
        <f>IF(OR(A47="",K47=""),"",IF(SUMPRODUCT(($A$6:$A$400&lt;&gt;"")*ISNUMBER(SEARCH($A$6:$A$400,K47))*($G$6:$G$400&lt;&gt;"Completed"))=0,"✓ Ready","⏳ "&amp;SUMPRODUCT(($A$6:$A$400&lt;&gt;"")*ISNUMBER(SEARCH($A$6:$A$400,K47))*($G$6:$G$400&lt;&gt;"Completed"))&amp;" open"))</f>
        <v>⏳ 1 open</v>
      </c>
      <c r="Z47" t="str">
        <f>IF(A47="","",B47&amp;"|"&amp;COUNTIFS($B$6:B47,B47,$A$6:A47,"?*"))</f>
        <v>Phase 3|1</v>
      </c>
      <c r="AA47">
        <f>IF(OR(A47="",I47="",G47="Completed"),"",IF(I47&gt;=StatusDate,I47+ROW()/100000,""))</f>
        <v>46313.00047</v>
      </c>
      <c r="AB47" t="str">
        <f>IF(A47="","",IF(AND(G47&lt;&gt;"Completed",OR(G47="Blocked",AND(TRIM(P47)&lt;&gt;"",P47&lt;&gt;"None"))),ROW(),""))</f>
        <v/>
      </c>
      <c r="AC47" t="str">
        <f>IF(A47="","",IF(G47="Completed","Done",IF(G47="Blocked","Blocked",IF(X47="OVERDUE","Overdue",IF(AND(W47&lt;&gt;"",W47&lt;=2),"Due soon",IF(AND(Y47&lt;&gt;"",LEFT(Y47,1)="⏳",G47&lt;&gt;"Not Started"),"Dependency open",IF(AND(S47&lt;&gt;"None",S47&lt;&gt;"",G47&lt;&gt;"Completed"),"External req.","On track")))))))</f>
        <v>On track</v>
      </c>
    </row>
    <row r="48">
      <c r="A48" t="str">
        <v>P3-02</v>
      </c>
      <c r="B48" t="str">
        <v>Phase 3</v>
      </c>
      <c r="C48" t="str">
        <v>Article Metadata</v>
      </c>
      <c r="D48" t="str">
        <v>Article metadata</v>
      </c>
      <c r="E48" t="str">
        <v>Author, publish &amp; updated dates (Arabic helpers), reading time, category badges, tags, view count.</v>
      </c>
      <c r="F48" t="str">
        <v>P0</v>
      </c>
      <c r="G48" t="str">
        <v>Not Started</v>
      </c>
      <c r="H48">
        <v>46313</v>
      </c>
      <c r="I48">
        <v>46313</v>
      </c>
      <c r="J48">
        <v>0</v>
      </c>
      <c r="K48" t="str">
        <v>P3-01, P1-15</v>
      </c>
      <c r="L48" t="str">
        <v>Staging (Hostinger)</v>
      </c>
      <c r="M48" t="str">
        <v>template-parts/article/meta.php</v>
      </c>
      <c r="N48" t="str">
        <v>Compare metadata with WP admin values for 10 posts</v>
      </c>
      <c r="O48" t="str">
        <v>Metadata accurate and localized</v>
      </c>
      <c r="S48" t="str">
        <v>None</v>
      </c>
      <c r="T48" t="str">
        <v>Not Tested</v>
      </c>
      <c r="U48">
        <f>IF(A48="",0,IF(G48="Completed",1,IF(G48="Not Started",0,MIN(0.99,N(J48)))))</f>
        <v>0</v>
      </c>
      <c r="V48">
        <f>IF(OR(A48="",H48="",I48=""),0,MAX(0,MIN(1,(StatusDate-H48+1)/(I48-H48+1))))</f>
        <v>0</v>
      </c>
      <c r="W48">
        <f>IF(OR(A48="",I48="",G48="Completed"),"",I48-StatusDate)</f>
        <v>7</v>
      </c>
      <c r="X48" t="str">
        <f>IF(A48="","",IF(AND(G48&lt;&gt;"Completed",I48&lt;&gt;"",I48&lt;StatusDate),"OVERDUE",""))</f>
        <v/>
      </c>
      <c r="Y48" t="str">
        <f>IF(OR(A48="",K48=""),"",IF(SUMPRODUCT(($A$6:$A$400&lt;&gt;"")*ISNUMBER(SEARCH($A$6:$A$400,K48))*($G$6:$G$400&lt;&gt;"Completed"))=0,"✓ Ready","⏳ "&amp;SUMPRODUCT(($A$6:$A$400&lt;&gt;"")*ISNUMBER(SEARCH($A$6:$A$400,K48))*($G$6:$G$400&lt;&gt;"Completed"))&amp;" open"))</f>
        <v>⏳ 2 open</v>
      </c>
      <c r="Z48" t="str">
        <f>IF(A48="","",B48&amp;"|"&amp;COUNTIFS($B$6:B48,B48,$A$6:A48,"?*"))</f>
        <v>Phase 3|2</v>
      </c>
      <c r="AA48">
        <f>IF(OR(A48="",I48="",G48="Completed"),"",IF(I48&gt;=StatusDate,I48+ROW()/100000,""))</f>
        <v>46313.00048</v>
      </c>
      <c r="AB48" t="str">
        <f>IF(A48="","",IF(AND(G48&lt;&gt;"Completed",OR(G48="Blocked",AND(TRIM(P48)&lt;&gt;"",P48&lt;&gt;"None"))),ROW(),""))</f>
        <v/>
      </c>
      <c r="AC48" t="str">
        <f>IF(A48="","",IF(G48="Completed","Done",IF(G48="Blocked","Blocked",IF(X48="OVERDUE","Overdue",IF(AND(W48&lt;&gt;"",W48&lt;=2),"Due soon",IF(AND(Y48&lt;&gt;"",LEFT(Y48,1)="⏳",G48&lt;&gt;"Not Started"),"Dependency open",IF(AND(S48&lt;&gt;"None",S48&lt;&gt;"",G48&lt;&gt;"Completed"),"External req.","On track")))))))</f>
        <v>On track</v>
      </c>
    </row>
    <row r="49">
      <c r="A49" t="str">
        <v>P3-03</v>
      </c>
      <c r="B49" t="str">
        <v>Phase 3</v>
      </c>
      <c r="C49" t="str">
        <v>Legacy Content</v>
      </c>
      <c r="D49" t="str">
        <v>Legacy JNews content &amp; shortcode rendering</v>
      </c>
      <c r="E49" t="str">
        <v>Render or gracefully strip JNews shortcodes/legacy markup found in the audit; style classic &amp; Gutenberg content (images, captions, galleries, embeds, tables, blockquotes).</v>
      </c>
      <c r="F49" t="str">
        <v>P0</v>
      </c>
      <c r="G49" t="str">
        <v>Not Started</v>
      </c>
      <c r="H49">
        <v>46313</v>
      </c>
      <c r="I49">
        <v>46313</v>
      </c>
      <c r="J49">
        <v>0</v>
      </c>
      <c r="K49" t="str">
        <v>P3-01, P6-04</v>
      </c>
      <c r="L49" t="str">
        <v>Staging (Hostinger)</v>
      </c>
      <c r="M49" t="str">
        <v>inc/legacy-shortcodes.php, assets/css/content.css</v>
      </c>
      <c r="N49" t="str">
        <v>Open posts flagged in P6-04 audit; no raw [shortcodes] visible</v>
      </c>
      <c r="O49" t="str">
        <v>No raw shortcodes or broken legacy markup in any of the 2,645 articles</v>
      </c>
      <c r="S49" t="str">
        <v>None</v>
      </c>
      <c r="T49" t="str">
        <v>Not Tested</v>
      </c>
      <c r="U49">
        <f>IF(A49="",0,IF(G49="Completed",1,IF(G49="Not Started",0,MIN(0.99,N(J49)))))</f>
        <v>0</v>
      </c>
      <c r="V49">
        <f>IF(OR(A49="",H49="",I49=""),0,MAX(0,MIN(1,(StatusDate-H49+1)/(I49-H49+1))))</f>
        <v>0</v>
      </c>
      <c r="W49">
        <f>IF(OR(A49="",I49="",G49="Completed"),"",I49-StatusDate)</f>
        <v>7</v>
      </c>
      <c r="X49" t="str">
        <f>IF(A49="","",IF(AND(G49&lt;&gt;"Completed",I49&lt;&gt;"",I49&lt;StatusDate),"OVERDUE",""))</f>
        <v/>
      </c>
      <c r="Y49" t="str">
        <f>IF(OR(A49="",K49=""),"",IF(SUMPRODUCT(($A$6:$A$400&lt;&gt;"")*ISNUMBER(SEARCH($A$6:$A$400,K49))*($G$6:$G$400&lt;&gt;"Completed"))=0,"✓ Ready","⏳ "&amp;SUMPRODUCT(($A$6:$A$400&lt;&gt;"")*ISNUMBER(SEARCH($A$6:$A$400,K49))*($G$6:$G$400&lt;&gt;"Completed"))&amp;" open"))</f>
        <v>⏳ 2 open</v>
      </c>
      <c r="Z49" t="str">
        <f>IF(A49="","",B49&amp;"|"&amp;COUNTIFS($B$6:B49,B49,$A$6:A49,"?*"))</f>
        <v>Phase 3|3</v>
      </c>
      <c r="AA49">
        <f>IF(OR(A49="",I49="",G49="Completed"),"",IF(I49&gt;=StatusDate,I49+ROW()/100000,""))</f>
        <v>46313.00049</v>
      </c>
      <c r="AB49" t="str">
        <f>IF(A49="","",IF(AND(G49&lt;&gt;"Completed",OR(G49="Blocked",AND(TRIM(P49)&lt;&gt;"",P49&lt;&gt;"None"))),ROW(),""))</f>
        <v/>
      </c>
      <c r="AC49" t="str">
        <f>IF(A49="","",IF(G49="Completed","Done",IF(G49="Blocked","Blocked",IF(X49="OVERDUE","Overdue",IF(AND(W49&lt;&gt;"",W49&lt;=2),"Due soon",IF(AND(Y49&lt;&gt;"",LEFT(Y49,1)="⏳",G49&lt;&gt;"Not Started"),"Dependency open",IF(AND(S49&lt;&gt;"None",S49&lt;&gt;"",G49&lt;&gt;"Completed"),"External req.","On track")))))))</f>
        <v>On track</v>
      </c>
    </row>
    <row r="50">
      <c r="A50" t="str">
        <v>P3-04</v>
      </c>
      <c r="B50" t="str">
        <v>Phase 3</v>
      </c>
      <c r="C50" t="str">
        <v>Engagement</v>
      </c>
      <c r="D50" t="str">
        <v>Reading progress bar</v>
      </c>
      <c r="E50" t="str">
        <v>Vanilla JS progress indicator (requestAnimationFrame), RTL fill direction, hidden on short posts.</v>
      </c>
      <c r="F50" t="str">
        <v>P1</v>
      </c>
      <c r="G50" t="str">
        <v>Not Started</v>
      </c>
      <c r="H50">
        <v>46313</v>
      </c>
      <c r="I50">
        <v>46313</v>
      </c>
      <c r="J50">
        <v>0</v>
      </c>
      <c r="K50" t="str">
        <v>P3-01</v>
      </c>
      <c r="L50" t="str">
        <v>Staging (Hostinger)</v>
      </c>
      <c r="M50" t="str">
        <v>assets/js/modules/progress.js</v>
      </c>
      <c r="N50" t="str">
        <v>Scroll long article; check direction and smoothness on mobile</v>
      </c>
      <c r="O50" t="str">
        <v>Progress bar accurate, smooth, RTL</v>
      </c>
      <c r="S50" t="str">
        <v>None</v>
      </c>
      <c r="T50" t="str">
        <v>Not Tested</v>
      </c>
      <c r="U50">
        <f>IF(A50="",0,IF(G50="Completed",1,IF(G50="Not Started",0,MIN(0.99,N(J50)))))</f>
        <v>0</v>
      </c>
      <c r="V50">
        <f>IF(OR(A50="",H50="",I50=""),0,MAX(0,MIN(1,(StatusDate-H50+1)/(I50-H50+1))))</f>
        <v>0</v>
      </c>
      <c r="W50">
        <f>IF(OR(A50="",I50="",G50="Completed"),"",I50-StatusDate)</f>
        <v>7</v>
      </c>
      <c r="X50" t="str">
        <f>IF(A50="","",IF(AND(G50&lt;&gt;"Completed",I50&lt;&gt;"",I50&lt;StatusDate),"OVERDUE",""))</f>
        <v/>
      </c>
      <c r="Y50" t="str">
        <f>IF(OR(A50="",K50=""),"",IF(SUMPRODUCT(($A$6:$A$400&lt;&gt;"")*ISNUMBER(SEARCH($A$6:$A$400,K50))*($G$6:$G$400&lt;&gt;"Completed"))=0,"✓ Ready","⏳ "&amp;SUMPRODUCT(($A$6:$A$400&lt;&gt;"")*ISNUMBER(SEARCH($A$6:$A$400,K50))*($G$6:$G$400&lt;&gt;"Completed"))&amp;" open"))</f>
        <v>⏳ 1 open</v>
      </c>
      <c r="Z50" t="str">
        <f>IF(A50="","",B50&amp;"|"&amp;COUNTIFS($B$6:B50,B50,$A$6:A50,"?*"))</f>
        <v>Phase 3|4</v>
      </c>
      <c r="AA50">
        <f>IF(OR(A50="",I50="",G50="Completed"),"",IF(I50&gt;=StatusDate,I50+ROW()/100000,""))</f>
        <v>46313.0005</v>
      </c>
      <c r="AB50" t="str">
        <f>IF(A50="","",IF(AND(G50&lt;&gt;"Completed",OR(G50="Blocked",AND(TRIM(P50)&lt;&gt;"",P50&lt;&gt;"None"))),ROW(),""))</f>
        <v/>
      </c>
      <c r="AC50" t="str">
        <f>IF(A50="","",IF(G50="Completed","Done",IF(G50="Blocked","Blocked",IF(X50="OVERDUE","Overdue",IF(AND(W50&lt;&gt;"",W50&lt;=2),"Due soon",IF(AND(Y50&lt;&gt;"",LEFT(Y50,1)="⏳",G50&lt;&gt;"Not Started"),"Dependency open",IF(AND(S50&lt;&gt;"None",S50&lt;&gt;"",G50&lt;&gt;"Completed"),"External req.","On track")))))))</f>
        <v>On track</v>
      </c>
    </row>
    <row r="51">
      <c r="A51" t="str">
        <v>P3-05</v>
      </c>
      <c r="B51" t="str">
        <v>Phase 3</v>
      </c>
      <c r="C51" t="str">
        <v>Engagement</v>
      </c>
      <c r="D51" t="str">
        <v>Social sharing</v>
      </c>
      <c r="E51" t="str">
        <v>WhatsApp, X, Facebook, LinkedIn, Telegram, copy-link and native Web Share API on mobile; no third-party scripts.</v>
      </c>
      <c r="F51" t="str">
        <v>P1</v>
      </c>
      <c r="G51" t="str">
        <v>Not Started</v>
      </c>
      <c r="H51">
        <v>46313</v>
      </c>
      <c r="I51">
        <v>46313</v>
      </c>
      <c r="J51">
        <v>0</v>
      </c>
      <c r="K51" t="str">
        <v>P3-01</v>
      </c>
      <c r="L51" t="str">
        <v>Staging (Hostinger)</v>
      </c>
      <c r="M51" t="str">
        <v>template-parts/article/share.php, assets/js/modules/share.js</v>
      </c>
      <c r="N51" t="str">
        <v>Share each network; check URL encoding of Arabic titles</v>
      </c>
      <c r="O51" t="str">
        <v>All share targets open with correct title and URL</v>
      </c>
      <c r="S51" t="str">
        <v>None</v>
      </c>
      <c r="T51" t="str">
        <v>Not Tested</v>
      </c>
      <c r="U51">
        <f>IF(A51="",0,IF(G51="Completed",1,IF(G51="Not Started",0,MIN(0.99,N(J51)))))</f>
        <v>0</v>
      </c>
      <c r="V51">
        <f>IF(OR(A51="",H51="",I51=""),0,MAX(0,MIN(1,(StatusDate-H51+1)/(I51-H51+1))))</f>
        <v>0</v>
      </c>
      <c r="W51">
        <f>IF(OR(A51="",I51="",G51="Completed"),"",I51-StatusDate)</f>
        <v>7</v>
      </c>
      <c r="X51" t="str">
        <f>IF(A51="","",IF(AND(G51&lt;&gt;"Completed",I51&lt;&gt;"",I51&lt;StatusDate),"OVERDUE",""))</f>
        <v/>
      </c>
      <c r="Y51" t="str">
        <f>IF(OR(A51="",K51=""),"",IF(SUMPRODUCT(($A$6:$A$400&lt;&gt;"")*ISNUMBER(SEARCH($A$6:$A$400,K51))*($G$6:$G$400&lt;&gt;"Completed"))=0,"✓ Ready","⏳ "&amp;SUMPRODUCT(($A$6:$A$400&lt;&gt;"")*ISNUMBER(SEARCH($A$6:$A$400,K51))*($G$6:$G$400&lt;&gt;"Completed"))&amp;" open"))</f>
        <v>⏳ 1 open</v>
      </c>
      <c r="Z51" t="str">
        <f>IF(A51="","",B51&amp;"|"&amp;COUNTIFS($B$6:B51,B51,$A$6:A51,"?*"))</f>
        <v>Phase 3|5</v>
      </c>
      <c r="AA51">
        <f>IF(OR(A51="",I51="",G51="Completed"),"",IF(I51&gt;=StatusDate,I51+ROW()/100000,""))</f>
        <v>46313.00051</v>
      </c>
      <c r="AB51" t="str">
        <f>IF(A51="","",IF(AND(G51&lt;&gt;"Completed",OR(G51="Blocked",AND(TRIM(P51)&lt;&gt;"",P51&lt;&gt;"None"))),ROW(),""))</f>
        <v/>
      </c>
      <c r="AC51" t="str">
        <f>IF(A51="","",IF(G51="Completed","Done",IF(G51="Blocked","Blocked",IF(X51="OVERDUE","Overdue",IF(AND(W51&lt;&gt;"",W51&lt;=2),"Due soon",IF(AND(Y51&lt;&gt;"",LEFT(Y51,1)="⏳",G51&lt;&gt;"Not Started"),"Dependency open",IF(AND(S51&lt;&gt;"None",S51&lt;&gt;"",G51&lt;&gt;"Completed"),"External req.","On track")))))))</f>
        <v>On track</v>
      </c>
    </row>
    <row r="52">
      <c r="A52" t="str">
        <v>P3-06</v>
      </c>
      <c r="B52" t="str">
        <v>Phase 3</v>
      </c>
      <c r="C52" t="str">
        <v>AdOps</v>
      </c>
      <c r="D52" t="str">
        <v>In-article advertisement injection</v>
      </c>
      <c r="E52" t="str">
        <v>the_content filter injects ad slot after paragraph N and every M paragraphs; skips short articles; never inside blockquote/table/embed; configurable in Customizer.</v>
      </c>
      <c r="F52" t="str">
        <v>P1</v>
      </c>
      <c r="G52" t="str">
        <v>Not Started</v>
      </c>
      <c r="H52">
        <v>46313</v>
      </c>
      <c r="I52">
        <v>46314</v>
      </c>
      <c r="J52">
        <v>0</v>
      </c>
      <c r="K52" t="str">
        <v>P3-01, P2-23</v>
      </c>
      <c r="L52" t="str">
        <v>Staging (Hostinger)</v>
      </c>
      <c r="M52" t="str">
        <v>inc/content-filters.php</v>
      </c>
      <c r="N52" t="str">
        <v>Test short, long and embed-heavy articles</v>
      </c>
      <c r="O52" t="str">
        <v>Ads appear at configured positions without breaking content</v>
      </c>
      <c r="S52" t="str">
        <v>None</v>
      </c>
      <c r="T52" t="str">
        <v>Not Tested</v>
      </c>
      <c r="U52">
        <f>IF(A52="",0,IF(G52="Completed",1,IF(G52="Not Started",0,MIN(0.99,N(J52)))))</f>
        <v>0</v>
      </c>
      <c r="V52">
        <f>IF(OR(A52="",H52="",I52=""),0,MAX(0,MIN(1,(StatusDate-H52+1)/(I52-H52+1))))</f>
        <v>0</v>
      </c>
      <c r="W52">
        <f>IF(OR(A52="",I52="",G52="Completed"),"",I52-StatusDate)</f>
        <v>8</v>
      </c>
      <c r="X52" t="str">
        <f>IF(A52="","",IF(AND(G52&lt;&gt;"Completed",I52&lt;&gt;"",I52&lt;StatusDate),"OVERDUE",""))</f>
        <v/>
      </c>
      <c r="Y52" t="str">
        <f>IF(OR(A52="",K52=""),"",IF(SUMPRODUCT(($A$6:$A$400&lt;&gt;"")*ISNUMBER(SEARCH($A$6:$A$400,K52))*($G$6:$G$400&lt;&gt;"Completed"))=0,"✓ Ready","⏳ "&amp;SUMPRODUCT(($A$6:$A$400&lt;&gt;"")*ISNUMBER(SEARCH($A$6:$A$400,K52))*($G$6:$G$400&lt;&gt;"Completed"))&amp;" open"))</f>
        <v>⏳ 2 open</v>
      </c>
      <c r="Z52" t="str">
        <f>IF(A52="","",B52&amp;"|"&amp;COUNTIFS($B$6:B52,B52,$A$6:A52,"?*"))</f>
        <v>Phase 3|6</v>
      </c>
      <c r="AA52">
        <f>IF(OR(A52="",I52="",G52="Completed"),"",IF(I52&gt;=StatusDate,I52+ROW()/100000,""))</f>
        <v>46314.00052</v>
      </c>
      <c r="AB52" t="str">
        <f>IF(A52="","",IF(AND(G52&lt;&gt;"Completed",OR(G52="Blocked",AND(TRIM(P52)&lt;&gt;"",P52&lt;&gt;"None"))),ROW(),""))</f>
        <v/>
      </c>
      <c r="AC52" t="str">
        <f>IF(A52="","",IF(G52="Completed","Done",IF(G52="Blocked","Blocked",IF(X52="OVERDUE","Overdue",IF(AND(W52&lt;&gt;"",W52&lt;=2),"Due soon",IF(AND(Y52&lt;&gt;"",LEFT(Y52,1)="⏳",G52&lt;&gt;"Not Started"),"Dependency open",IF(AND(S52&lt;&gt;"None",S52&lt;&gt;"",G52&lt;&gt;"Completed"),"External req.","On track")))))))</f>
        <v>On track</v>
      </c>
    </row>
    <row r="53">
      <c r="A53" t="str">
        <v>P3-07</v>
      </c>
      <c r="B53" t="str">
        <v>Phase 3</v>
      </c>
      <c r="C53" t="str">
        <v>Engagement</v>
      </c>
      <c r="D53" t="str">
        <v>Related articles</v>
      </c>
      <c r="E53" t="str">
        <v>Related posts by shared category + tags, cached, excludes current post, fallback to latest in category.</v>
      </c>
      <c r="F53" t="str">
        <v>P1</v>
      </c>
      <c r="G53" t="str">
        <v>In Progress</v>
      </c>
      <c r="H53">
        <v>46314</v>
      </c>
      <c r="I53">
        <v>46314</v>
      </c>
      <c r="J53">
        <v>0.6</v>
      </c>
      <c r="K53" t="str">
        <v>P3-01, P1-14</v>
      </c>
      <c r="L53" t="str">
        <v>Staging (Hostinger)</v>
      </c>
      <c r="M53" t="str">
        <v>template-parts/article/related.php</v>
      </c>
      <c r="N53" t="str">
        <v>Check relevance on 5 posts; check cache</v>
      </c>
      <c r="O53" t="str">
        <v>Related list relevant and cached</v>
      </c>
      <c r="Q53" t="str">
        <v>altijara_get_related_posts() used on single; caching via query layer.</v>
      </c>
      <c r="S53" t="str">
        <v>None</v>
      </c>
      <c r="T53" t="str">
        <v>Not Tested</v>
      </c>
      <c r="U53">
        <f>IF(A53="",0,IF(G53="Completed",1,IF(G53="Not Started",0,MIN(0.99,N(J53)))))</f>
        <v>0</v>
      </c>
      <c r="V53">
        <f>IF(OR(A53="",H53="",I53=""),0,MAX(0,MIN(1,(StatusDate-H53+1)/(I53-H53+1))))</f>
        <v>0</v>
      </c>
      <c r="W53">
        <f>IF(OR(A53="",I53="",G53="Completed"),"",I53-StatusDate)</f>
        <v>8</v>
      </c>
      <c r="X53" t="str">
        <f>IF(A53="","",IF(AND(G53&lt;&gt;"Completed",I53&lt;&gt;"",I53&lt;StatusDate),"OVERDUE",""))</f>
        <v/>
      </c>
      <c r="Y53" t="str">
        <f>IF(OR(A53="",K53=""),"",IF(SUMPRODUCT(($A$6:$A$400&lt;&gt;"")*ISNUMBER(SEARCH($A$6:$A$400,K53))*($G$6:$G$400&lt;&gt;"Completed"))=0,"✓ Ready","⏳ "&amp;SUMPRODUCT(($A$6:$A$400&lt;&gt;"")*ISNUMBER(SEARCH($A$6:$A$400,K53))*($G$6:$G$400&lt;&gt;"Completed"))&amp;" open"))</f>
        <v>⏳ 2 open</v>
      </c>
      <c r="Z53" t="str">
        <f>IF(A53="","",B53&amp;"|"&amp;COUNTIFS($B$6:B53,B53,$A$6:A53,"?*"))</f>
        <v>Phase 3|7</v>
      </c>
      <c r="AA53">
        <f>IF(OR(A53="",I53="",G53="Completed"),"",IF(I53&gt;=StatusDate,I53+ROW()/100000,""))</f>
        <v>46314.00053</v>
      </c>
      <c r="AB53" t="str">
        <f>IF(A53="","",IF(AND(G53&lt;&gt;"Completed",OR(G53="Blocked",AND(TRIM(P53)&lt;&gt;"",P53&lt;&gt;"None"))),ROW(),""))</f>
        <v/>
      </c>
      <c r="AC53" t="str">
        <f>IF(A53="","",IF(G53="Completed","Done",IF(G53="Blocked","Blocked",IF(X53="OVERDUE","Overdue",IF(AND(W53&lt;&gt;"",W53&lt;=2),"Due soon",IF(AND(Y53&lt;&gt;"",LEFT(Y53,1)="⏳",G53&lt;&gt;"Not Started"),"Dependency open",IF(AND(S53&lt;&gt;"None",S53&lt;&gt;"",G53&lt;&gt;"Completed"),"External req.","On track")))))))</f>
        <v>On track</v>
      </c>
    </row>
    <row r="54">
      <c r="A54" t="str">
        <v>P3-08</v>
      </c>
      <c r="B54" t="str">
        <v>Phase 3</v>
      </c>
      <c r="C54" t="str">
        <v>Author Profiles</v>
      </c>
      <c r="D54" t="str">
        <v>Author box &amp; author profile template</v>
      </c>
      <c r="E54" t="str">
        <v>Author box on articles; author.php with avatar, bio, social links, role and paginated post list.</v>
      </c>
      <c r="F54" t="str">
        <v>P0</v>
      </c>
      <c r="G54" t="str">
        <v>Not Started</v>
      </c>
      <c r="H54">
        <v>46314</v>
      </c>
      <c r="I54">
        <v>46314</v>
      </c>
      <c r="J54">
        <v>0</v>
      </c>
      <c r="K54" t="str">
        <v>P1-06</v>
      </c>
      <c r="L54" t="str">
        <v>Staging (Hostinger)</v>
      </c>
      <c r="M54" t="str">
        <v>author.php, template-parts/article/author-box.php</v>
      </c>
      <c r="N54" t="str">
        <v>Open 5 author pages incl. one with no bio/avatar</v>
      </c>
      <c r="O54" t="str">
        <v>Every author has a working profile page</v>
      </c>
      <c r="S54" t="str">
        <v>None</v>
      </c>
      <c r="T54" t="str">
        <v>Not Tested</v>
      </c>
      <c r="U54">
        <f>IF(A54="",0,IF(G54="Completed",1,IF(G54="Not Started",0,MIN(0.99,N(J54)))))</f>
        <v>0</v>
      </c>
      <c r="V54">
        <f>IF(OR(A54="",H54="",I54=""),0,MAX(0,MIN(1,(StatusDate-H54+1)/(I54-H54+1))))</f>
        <v>0</v>
      </c>
      <c r="W54">
        <f>IF(OR(A54="",I54="",G54="Completed"),"",I54-StatusDate)</f>
        <v>8</v>
      </c>
      <c r="X54" t="str">
        <f>IF(A54="","",IF(AND(G54&lt;&gt;"Completed",I54&lt;&gt;"",I54&lt;StatusDate),"OVERDUE",""))</f>
        <v/>
      </c>
      <c r="Y54" t="str">
        <f>IF(OR(A54="",K54=""),"",IF(SUMPRODUCT(($A$6:$A$400&lt;&gt;"")*ISNUMBER(SEARCH($A$6:$A$400,K54))*($G$6:$G$400&lt;&gt;"Completed"))=0,"✓ Ready","⏳ "&amp;SUMPRODUCT(($A$6:$A$400&lt;&gt;"")*ISNUMBER(SEARCH($A$6:$A$400,K54))*($G$6:$G$400&lt;&gt;"Completed"))&amp;" open"))</f>
        <v>⏳ 1 open</v>
      </c>
      <c r="Z54" t="str">
        <f>IF(A54="","",B54&amp;"|"&amp;COUNTIFS($B$6:B54,B54,$A$6:A54,"?*"))</f>
        <v>Phase 3|8</v>
      </c>
      <c r="AA54">
        <f>IF(OR(A54="",I54="",G54="Completed"),"",IF(I54&gt;=StatusDate,I54+ROW()/100000,""))</f>
        <v>46314.00054</v>
      </c>
      <c r="AB54" t="str">
        <f>IF(A54="","",IF(AND(G54&lt;&gt;"Completed",OR(G54="Blocked",AND(TRIM(P54)&lt;&gt;"",P54&lt;&gt;"None"))),ROW(),""))</f>
        <v/>
      </c>
      <c r="AC54" t="str">
        <f>IF(A54="","",IF(G54="Completed","Done",IF(G54="Blocked","Blocked",IF(X54="OVERDUE","Overdue",IF(AND(W54&lt;&gt;"",W54&lt;=2),"Due soon",IF(AND(Y54&lt;&gt;"",LEFT(Y54,1)="⏳",G54&lt;&gt;"Not Started"),"Dependency open",IF(AND(S54&lt;&gt;"None",S54&lt;&gt;"",G54&lt;&gt;"Completed"),"External req.","On track")))))))</f>
        <v>On track</v>
      </c>
    </row>
    <row r="55">
      <c r="A55" t="str">
        <v>P3-09</v>
      </c>
      <c r="B55" t="str">
        <v>Phase 3</v>
      </c>
      <c r="C55" t="str">
        <v>Category Archives</v>
      </c>
      <c r="D55" t="str">
        <v>Category archive template</v>
      </c>
      <c r="E55" t="str">
        <v>category.php with category hero, featured lead post, subcategory navigation, post grid, sidebar.</v>
      </c>
      <c r="F55" t="str">
        <v>P0</v>
      </c>
      <c r="G55" t="str">
        <v>In Progress</v>
      </c>
      <c r="H55">
        <v>46314</v>
      </c>
      <c r="I55">
        <v>46314</v>
      </c>
      <c r="J55">
        <v>0.35</v>
      </c>
      <c r="K55" t="str">
        <v>P1-06</v>
      </c>
      <c r="L55" t="str">
        <v>Staging (Hostinger)</v>
      </c>
      <c r="M55" t="str">
        <v>category.php, archive.php</v>
      </c>
      <c r="N55" t="str">
        <v>Check every top-level category and 3 subcategories</v>
      </c>
      <c r="O55" t="str">
        <v>All categories render with correct posts and SEO-friendly URLs</v>
      </c>
      <c r="Q55" t="str">
        <v>category.php exists but still largely static/JS-driven — SSR conversion remaining.</v>
      </c>
      <c r="S55" t="str">
        <v>None</v>
      </c>
      <c r="T55" t="str">
        <v>Not Tested</v>
      </c>
      <c r="U55">
        <f>IF(A55="",0,IF(G55="Completed",1,IF(G55="Not Started",0,MIN(0.99,N(J55)))))</f>
        <v>0</v>
      </c>
      <c r="V55">
        <f>IF(OR(A55="",H55="",I55=""),0,MAX(0,MIN(1,(StatusDate-H55+1)/(I55-H55+1))))</f>
        <v>0</v>
      </c>
      <c r="W55">
        <f>IF(OR(A55="",I55="",G55="Completed"),"",I55-StatusDate)</f>
        <v>8</v>
      </c>
      <c r="X55" t="str">
        <f>IF(A55="","",IF(AND(G55&lt;&gt;"Completed",I55&lt;&gt;"",I55&lt;StatusDate),"OVERDUE",""))</f>
        <v/>
      </c>
      <c r="Y55" t="str">
        <f>IF(OR(A55="",K55=""),"",IF(SUMPRODUCT(($A$6:$A$400&lt;&gt;"")*ISNUMBER(SEARCH($A$6:$A$400,K55))*($G$6:$G$400&lt;&gt;"Completed"))=0,"✓ Ready","⏳ "&amp;SUMPRODUCT(($A$6:$A$400&lt;&gt;"")*ISNUMBER(SEARCH($A$6:$A$400,K55))*($G$6:$G$400&lt;&gt;"Completed"))&amp;" open"))</f>
        <v>⏳ 1 open</v>
      </c>
      <c r="Z55" t="str">
        <f>IF(A55="","",B55&amp;"|"&amp;COUNTIFS($B$6:B55,B55,$A$6:A55,"?*"))</f>
        <v>Phase 3|9</v>
      </c>
      <c r="AA55">
        <f>IF(OR(A55="",I55="",G55="Completed"),"",IF(I55&gt;=StatusDate,I55+ROW()/100000,""))</f>
        <v>46314.00055</v>
      </c>
      <c r="AB55" t="str">
        <f>IF(A55="","",IF(AND(G55&lt;&gt;"Completed",OR(G55="Blocked",AND(TRIM(P55)&lt;&gt;"",P55&lt;&gt;"None"))),ROW(),""))</f>
        <v/>
      </c>
      <c r="AC55" t="str">
        <f>IF(A55="","",IF(G55="Completed","Done",IF(G55="Blocked","Blocked",IF(X55="OVERDUE","Overdue",IF(AND(W55&lt;&gt;"",W55&lt;=2),"Due soon",IF(AND(Y55&lt;&gt;"",LEFT(Y55,1)="⏳",G55&lt;&gt;"Not Started"),"Dependency open",IF(AND(S55&lt;&gt;"None",S55&lt;&gt;"",G55&lt;&gt;"Completed"),"External req.","On track")))))))</f>
        <v>On track</v>
      </c>
    </row>
    <row r="56">
      <c r="A56" t="str">
        <v>P3-10</v>
      </c>
      <c r="B56" t="str">
        <v>Phase 3</v>
      </c>
      <c r="C56" t="str">
        <v>Taxonomy</v>
      </c>
      <c r="D56" t="str">
        <v>Tag archive, search results &amp; 404</v>
      </c>
      <c r="E56" t="str">
        <v>tag.php, search.php with highlighted results, 404.php with search and latest posts.</v>
      </c>
      <c r="F56" t="str">
        <v>P1</v>
      </c>
      <c r="G56" t="str">
        <v>Not Started</v>
      </c>
      <c r="H56">
        <v>46314</v>
      </c>
      <c r="I56">
        <v>46314</v>
      </c>
      <c r="J56">
        <v>0</v>
      </c>
      <c r="K56" t="str">
        <v>P3-09</v>
      </c>
      <c r="L56" t="str">
        <v>Staging (Hostinger)</v>
      </c>
      <c r="M56" t="str">
        <v>tag.php, search.php, 404.php</v>
      </c>
      <c r="N56" t="str">
        <v>Search Arabic terms; visit unknown URL</v>
      </c>
      <c r="O56" t="str">
        <v>Search returns relevant results; 404 helpful</v>
      </c>
      <c r="S56" t="str">
        <v>None</v>
      </c>
      <c r="T56" t="str">
        <v>Not Tested</v>
      </c>
      <c r="U56">
        <f>IF(A56="",0,IF(G56="Completed",1,IF(G56="Not Started",0,MIN(0.99,N(J56)))))</f>
        <v>0</v>
      </c>
      <c r="V56">
        <f>IF(OR(A56="",H56="",I56=""),0,MAX(0,MIN(1,(StatusDate-H56+1)/(I56-H56+1))))</f>
        <v>0</v>
      </c>
      <c r="W56">
        <f>IF(OR(A56="",I56="",G56="Completed"),"",I56-StatusDate)</f>
        <v>8</v>
      </c>
      <c r="X56" t="str">
        <f>IF(A56="","",IF(AND(G56&lt;&gt;"Completed",I56&lt;&gt;"",I56&lt;StatusDate),"OVERDUE",""))</f>
        <v/>
      </c>
      <c r="Y56" t="str">
        <f>IF(OR(A56="",K56=""),"",IF(SUMPRODUCT(($A$6:$A$400&lt;&gt;"")*ISNUMBER(SEARCH($A$6:$A$400,K56))*($G$6:$G$400&lt;&gt;"Completed"))=0,"✓ Ready","⏳ "&amp;SUMPRODUCT(($A$6:$A$400&lt;&gt;"")*ISNUMBER(SEARCH($A$6:$A$400,K56))*($G$6:$G$400&lt;&gt;"Completed"))&amp;" open"))</f>
        <v>⏳ 1 open</v>
      </c>
      <c r="Z56" t="str">
        <f>IF(A56="","",B56&amp;"|"&amp;COUNTIFS($B$6:B56,B56,$A$6:A56,"?*"))</f>
        <v>Phase 3|10</v>
      </c>
      <c r="AA56">
        <f>IF(OR(A56="",I56="",G56="Completed"),"",IF(I56&gt;=StatusDate,I56+ROW()/100000,""))</f>
        <v>46314.00056</v>
      </c>
      <c r="AB56" t="str">
        <f>IF(A56="","",IF(AND(G56&lt;&gt;"Completed",OR(G56="Blocked",AND(TRIM(P56)&lt;&gt;"",P56&lt;&gt;"None"))),ROW(),""))</f>
        <v/>
      </c>
      <c r="AC56" t="str">
        <f>IF(A56="","",IF(G56="Completed","Done",IF(G56="Blocked","Blocked",IF(X56="OVERDUE","Overdue",IF(AND(W56&lt;&gt;"",W56&lt;=2),"Due soon",IF(AND(Y56&lt;&gt;"",LEFT(Y56,1)="⏳",G56&lt;&gt;"Not Started"),"Dependency open",IF(AND(S56&lt;&gt;"None",S56&lt;&gt;"",G56&lt;&gt;"Completed"),"External req.","On track")))))))</f>
        <v>On track</v>
      </c>
    </row>
    <row r="57">
      <c r="A57" t="str">
        <v>P3-11</v>
      </c>
      <c r="B57" t="str">
        <v>Phase 3</v>
      </c>
      <c r="C57" t="str">
        <v>AJAX Filtering</v>
      </c>
      <c r="D57" t="str">
        <v>AJAX archive filtering</v>
      </c>
      <c r="E57" t="str">
        <v>REST endpoint (nonce, sanitized params) filtering by subcategory, date range and sort; updates grid without reload; history.pushState with crawlable fallback URLs.</v>
      </c>
      <c r="F57" t="str">
        <v>P1</v>
      </c>
      <c r="G57" t="str">
        <v>Not Started</v>
      </c>
      <c r="H57">
        <v>46314</v>
      </c>
      <c r="I57">
        <v>46315</v>
      </c>
      <c r="J57">
        <v>0</v>
      </c>
      <c r="K57" t="str">
        <v>P3-09</v>
      </c>
      <c r="L57" t="str">
        <v>Staging (Hostinger)</v>
      </c>
      <c r="M57" t="str">
        <v>inc/rest/archive-filter.php, assets/js/modules/filter.js</v>
      </c>
      <c r="N57" t="str">
        <v>Apply filters; use back button; disable JS and confirm links still work</v>
      </c>
      <c r="O57" t="str">
        <v>Filtering fast (&lt; 500 ms server), shareable URLs, works without JS</v>
      </c>
      <c r="S57" t="str">
        <v>None</v>
      </c>
      <c r="T57" t="str">
        <v>Not Tested</v>
      </c>
      <c r="U57">
        <f>IF(A57="",0,IF(G57="Completed",1,IF(G57="Not Started",0,MIN(0.99,N(J57)))))</f>
        <v>0</v>
      </c>
      <c r="V57">
        <f>IF(OR(A57="",H57="",I57=""),0,MAX(0,MIN(1,(StatusDate-H57+1)/(I57-H57+1))))</f>
        <v>0</v>
      </c>
      <c r="W57">
        <f>IF(OR(A57="",I57="",G57="Completed"),"",I57-StatusDate)</f>
        <v>9</v>
      </c>
      <c r="X57" t="str">
        <f>IF(A57="","",IF(AND(G57&lt;&gt;"Completed",I57&lt;&gt;"",I57&lt;StatusDate),"OVERDUE",""))</f>
        <v/>
      </c>
      <c r="Y57" t="str">
        <f>IF(OR(A57="",K57=""),"",IF(SUMPRODUCT(($A$6:$A$400&lt;&gt;"")*ISNUMBER(SEARCH($A$6:$A$400,K57))*($G$6:$G$400&lt;&gt;"Completed"))=0,"✓ Ready","⏳ "&amp;SUMPRODUCT(($A$6:$A$400&lt;&gt;"")*ISNUMBER(SEARCH($A$6:$A$400,K57))*($G$6:$G$400&lt;&gt;"Completed"))&amp;" open"))</f>
        <v>⏳ 1 open</v>
      </c>
      <c r="Z57" t="str">
        <f>IF(A57="","",B57&amp;"|"&amp;COUNTIFS($B$6:B57,B57,$A$6:A57,"?*"))</f>
        <v>Phase 3|11</v>
      </c>
      <c r="AA57">
        <f>IF(OR(A57="",I57="",G57="Completed"),"",IF(I57&gt;=StatusDate,I57+ROW()/100000,""))</f>
        <v>46315.00057</v>
      </c>
      <c r="AB57" t="str">
        <f>IF(A57="","",IF(AND(G57&lt;&gt;"Completed",OR(G57="Blocked",AND(TRIM(P57)&lt;&gt;"",P57&lt;&gt;"None"))),ROW(),""))</f>
        <v/>
      </c>
      <c r="AC57" t="str">
        <f>IF(A57="","",IF(G57="Completed","Done",IF(G57="Blocked","Blocked",IF(X57="OVERDUE","Overdue",IF(AND(W57&lt;&gt;"",W57&lt;=2),"Due soon",IF(AND(Y57&lt;&gt;"",LEFT(Y57,1)="⏳",G57&lt;&gt;"Not Started"),"Dependency open",IF(AND(S57&lt;&gt;"None",S57&lt;&gt;"",G57&lt;&gt;"Completed"),"External req.","On track")))))))</f>
        <v>On track</v>
      </c>
    </row>
    <row r="58">
      <c r="A58" t="str">
        <v>P3-12</v>
      </c>
      <c r="B58" t="str">
        <v>Phase 3</v>
      </c>
      <c r="C58" t="str">
        <v>Archive UX</v>
      </c>
      <c r="D58" t="str">
        <v>Grid / list view switching</v>
      </c>
      <c r="E58" t="str">
        <v>Toggle between grid and list views; remembers preference per visitor.</v>
      </c>
      <c r="F58" t="str">
        <v>P2</v>
      </c>
      <c r="G58" t="str">
        <v>Not Started</v>
      </c>
      <c r="H58">
        <v>46315</v>
      </c>
      <c r="I58">
        <v>46315</v>
      </c>
      <c r="J58">
        <v>0</v>
      </c>
      <c r="K58" t="str">
        <v>P3-09</v>
      </c>
      <c r="L58" t="str">
        <v>Staging (Hostinger)</v>
      </c>
      <c r="M58" t="str">
        <v>assets/js/modules/view-toggle.js</v>
      </c>
      <c r="N58" t="str">
        <v>Toggle on archive; reload page; preference kept</v>
      </c>
      <c r="O58" t="str">
        <v>Toggle works on all archives</v>
      </c>
      <c r="S58" t="str">
        <v>None</v>
      </c>
      <c r="T58" t="str">
        <v>Not Tested</v>
      </c>
      <c r="U58">
        <f>IF(A58="",0,IF(G58="Completed",1,IF(G58="Not Started",0,MIN(0.99,N(J58)))))</f>
        <v>0</v>
      </c>
      <c r="V58">
        <f>IF(OR(A58="",H58="",I58=""),0,MAX(0,MIN(1,(StatusDate-H58+1)/(I58-H58+1))))</f>
        <v>0</v>
      </c>
      <c r="W58">
        <f>IF(OR(A58="",I58="",G58="Completed"),"",I58-StatusDate)</f>
        <v>9</v>
      </c>
      <c r="X58" t="str">
        <f>IF(A58="","",IF(AND(G58&lt;&gt;"Completed",I58&lt;&gt;"",I58&lt;StatusDate),"OVERDUE",""))</f>
        <v/>
      </c>
      <c r="Y58" t="str">
        <f>IF(OR(A58="",K58=""),"",IF(SUMPRODUCT(($A$6:$A$400&lt;&gt;"")*ISNUMBER(SEARCH($A$6:$A$400,K58))*($G$6:$G$400&lt;&gt;"Completed"))=0,"✓ Ready","⏳ "&amp;SUMPRODUCT(($A$6:$A$400&lt;&gt;"")*ISNUMBER(SEARCH($A$6:$A$400,K58))*($G$6:$G$400&lt;&gt;"Completed"))&amp;" open"))</f>
        <v>⏳ 1 open</v>
      </c>
      <c r="Z58" t="str">
        <f>IF(A58="","",B58&amp;"|"&amp;COUNTIFS($B$6:B58,B58,$A$6:A58,"?*"))</f>
        <v>Phase 3|12</v>
      </c>
      <c r="AA58">
        <f>IF(OR(A58="",I58="",G58="Completed"),"",IF(I58&gt;=StatusDate,I58+ROW()/100000,""))</f>
        <v>46315.00058</v>
      </c>
      <c r="AB58" t="str">
        <f>IF(A58="","",IF(AND(G58&lt;&gt;"Completed",OR(G58="Blocked",AND(TRIM(P58)&lt;&gt;"",P58&lt;&gt;"None"))),ROW(),""))</f>
        <v/>
      </c>
      <c r="AC58" t="str">
        <f>IF(A58="","",IF(G58="Completed","Done",IF(G58="Blocked","Blocked",IF(X58="OVERDUE","Overdue",IF(AND(W58&lt;&gt;"",W58&lt;=2),"Due soon",IF(AND(Y58&lt;&gt;"",LEFT(Y58,1)="⏳",G58&lt;&gt;"Not Started"),"Dependency open",IF(AND(S58&lt;&gt;"None",S58&lt;&gt;"",G58&lt;&gt;"Completed"),"External req.","On track")))))))</f>
        <v>On track</v>
      </c>
    </row>
    <row r="59">
      <c r="A59" t="str">
        <v>P3-13</v>
      </c>
      <c r="B59" t="str">
        <v>Phase 3</v>
      </c>
      <c r="C59" t="str">
        <v>Pagination</v>
      </c>
      <c r="D59" t="str">
        <v>Pagination</v>
      </c>
      <c r="E59" t="str">
        <v>Numbered pagination with SEO-friendly /page/N/ URLs; optional 'load more' enhancement.</v>
      </c>
      <c r="F59" t="str">
        <v>P0</v>
      </c>
      <c r="G59" t="str">
        <v>Not Started</v>
      </c>
      <c r="H59">
        <v>46315</v>
      </c>
      <c r="I59">
        <v>46315</v>
      </c>
      <c r="J59">
        <v>0</v>
      </c>
      <c r="K59" t="str">
        <v>P3-09</v>
      </c>
      <c r="L59" t="str">
        <v>Staging (Hostinger)</v>
      </c>
      <c r="M59" t="str">
        <v>template-parts/components/pagination.php</v>
      </c>
      <c r="N59" t="str">
        <v>Navigate to last page of large category; check rel/canonical</v>
      </c>
      <c r="O59" t="str">
        <v>Pagination works on all archives without duplicate content issues</v>
      </c>
      <c r="S59" t="str">
        <v>None</v>
      </c>
      <c r="T59" t="str">
        <v>Not Tested</v>
      </c>
      <c r="U59">
        <f>IF(A59="",0,IF(G59="Completed",1,IF(G59="Not Started",0,MIN(0.99,N(J59)))))</f>
        <v>0</v>
      </c>
      <c r="V59">
        <f>IF(OR(A59="",H59="",I59=""),0,MAX(0,MIN(1,(StatusDate-H59+1)/(I59-H59+1))))</f>
        <v>0</v>
      </c>
      <c r="W59">
        <f>IF(OR(A59="",I59="",G59="Completed"),"",I59-StatusDate)</f>
        <v>9</v>
      </c>
      <c r="X59" t="str">
        <f>IF(A59="","",IF(AND(G59&lt;&gt;"Completed",I59&lt;&gt;"",I59&lt;StatusDate),"OVERDUE",""))</f>
        <v/>
      </c>
      <c r="Y59" t="str">
        <f>IF(OR(A59="",K59=""),"",IF(SUMPRODUCT(($A$6:$A$400&lt;&gt;"")*ISNUMBER(SEARCH($A$6:$A$400,K59))*($G$6:$G$400&lt;&gt;"Completed"))=0,"✓ Ready","⏳ "&amp;SUMPRODUCT(($A$6:$A$400&lt;&gt;"")*ISNUMBER(SEARCH($A$6:$A$400,K59))*($G$6:$G$400&lt;&gt;"Completed"))&amp;" open"))</f>
        <v>⏳ 1 open</v>
      </c>
      <c r="Z59" t="str">
        <f>IF(A59="","",B59&amp;"|"&amp;COUNTIFS($B$6:B59,B59,$A$6:A59,"?*"))</f>
        <v>Phase 3|13</v>
      </c>
      <c r="AA59">
        <f>IF(OR(A59="",I59="",G59="Completed"),"",IF(I59&gt;=StatusDate,I59+ROW()/100000,""))</f>
        <v>46315.00059</v>
      </c>
      <c r="AB59" t="str">
        <f>IF(A59="","",IF(AND(G59&lt;&gt;"Completed",OR(G59="Blocked",AND(TRIM(P59)&lt;&gt;"",P59&lt;&gt;"None"))),ROW(),""))</f>
        <v/>
      </c>
      <c r="AC59" t="str">
        <f>IF(A59="","",IF(G59="Completed","Done",IF(G59="Blocked","Blocked",IF(X59="OVERDUE","Overdue",IF(AND(W59&lt;&gt;"",W59&lt;=2),"Due soon",IF(AND(Y59&lt;&gt;"",LEFT(Y59,1)="⏳",G59&lt;&gt;"Not Started"),"Dependency open",IF(AND(S59&lt;&gt;"None",S59&lt;&gt;"",G59&lt;&gt;"Completed"),"External req.","On track")))))))</f>
        <v>On track</v>
      </c>
    </row>
    <row r="60">
      <c r="A60" t="str">
        <v>P3-14</v>
      </c>
      <c r="B60" t="str">
        <v>Phase 3</v>
      </c>
      <c r="C60" t="str">
        <v>Print</v>
      </c>
      <c r="D60" t="str">
        <v>Print stylesheet</v>
      </c>
      <c r="E60" t="str">
        <v>print.css hiding nav/ads/share, readable article typography, URL and date in footer.</v>
      </c>
      <c r="F60" t="str">
        <v>P2</v>
      </c>
      <c r="G60" t="str">
        <v>Not Started</v>
      </c>
      <c r="H60">
        <v>46315</v>
      </c>
      <c r="I60">
        <v>46315</v>
      </c>
      <c r="J60">
        <v>0</v>
      </c>
      <c r="K60" t="str">
        <v>P3-01</v>
      </c>
      <c r="L60" t="str">
        <v>Staging (Hostinger)</v>
      </c>
      <c r="M60" t="str">
        <v>assets/css/print.css</v>
      </c>
      <c r="N60" t="str">
        <v>Print preview article in Chrome and Safari</v>
      </c>
      <c r="O60" t="str">
        <v>Clean printable article</v>
      </c>
      <c r="S60" t="str">
        <v>None</v>
      </c>
      <c r="T60" t="str">
        <v>Not Tested</v>
      </c>
      <c r="U60">
        <f>IF(A60="",0,IF(G60="Completed",1,IF(G60="Not Started",0,MIN(0.99,N(J60)))))</f>
        <v>0</v>
      </c>
      <c r="V60">
        <f>IF(OR(A60="",H60="",I60=""),0,MAX(0,MIN(1,(StatusDate-H60+1)/(I60-H60+1))))</f>
        <v>0</v>
      </c>
      <c r="W60">
        <f>IF(OR(A60="",I60="",G60="Completed"),"",I60-StatusDate)</f>
        <v>9</v>
      </c>
      <c r="X60" t="str">
        <f>IF(A60="","",IF(AND(G60&lt;&gt;"Completed",I60&lt;&gt;"",I60&lt;StatusDate),"OVERDUE",""))</f>
        <v/>
      </c>
      <c r="Y60" t="str">
        <f>IF(OR(A60="",K60=""),"",IF(SUMPRODUCT(($A$6:$A$400&lt;&gt;"")*ISNUMBER(SEARCH($A$6:$A$400,K60))*($G$6:$G$400&lt;&gt;"Completed"))=0,"✓ Ready","⏳ "&amp;SUMPRODUCT(($A$6:$A$400&lt;&gt;"")*ISNUMBER(SEARCH($A$6:$A$400,K60))*($G$6:$G$400&lt;&gt;"Completed"))&amp;" open"))</f>
        <v>⏳ 1 open</v>
      </c>
      <c r="Z60" t="str">
        <f>IF(A60="","",B60&amp;"|"&amp;COUNTIFS($B$6:B60,B60,$A$6:A60,"?*"))</f>
        <v>Phase 3|14</v>
      </c>
      <c r="AA60">
        <f>IF(OR(A60="",I60="",G60="Completed"),"",IF(I60&gt;=StatusDate,I60+ROW()/100000,""))</f>
        <v>46315.0006</v>
      </c>
      <c r="AB60" t="str">
        <f>IF(A60="","",IF(AND(G60&lt;&gt;"Completed",OR(G60="Blocked",AND(TRIM(P60)&lt;&gt;"",P60&lt;&gt;"None"))),ROW(),""))</f>
        <v/>
      </c>
      <c r="AC60" t="str">
        <f>IF(A60="","",IF(G60="Completed","Done",IF(G60="Blocked","Blocked",IF(X60="OVERDUE","Overdue",IF(AND(W60&lt;&gt;"",W60&lt;=2),"Due soon",IF(AND(Y60&lt;&gt;"",LEFT(Y60,1)="⏳",G60&lt;&gt;"Not Started"),"Dependency open",IF(AND(S60&lt;&gt;"None",S60&lt;&gt;"",G60&lt;&gt;"Completed"),"External req.","On track")))))))</f>
        <v>On track</v>
      </c>
    </row>
    <row r="61">
      <c r="A61" t="str">
        <v>P3-15</v>
      </c>
      <c r="B61" t="str">
        <v>Phase 3</v>
      </c>
      <c r="C61" t="str">
        <v>SEO</v>
      </c>
      <c r="D61" t="str">
        <v>SEO compatibility, schema &amp; breadcrumbs</v>
      </c>
      <c r="E61" t="str">
        <v>Compatibility with the active SEO plugin (titles, meta, canonical, OG/Twitter, sitemaps); NewsArticle/Article schema; breadcrumbs; no duplicate meta from theme.</v>
      </c>
      <c r="F61" t="str">
        <v>P0</v>
      </c>
      <c r="G61" t="str">
        <v>Not Started</v>
      </c>
      <c r="H61">
        <v>46315</v>
      </c>
      <c r="I61">
        <v>46315</v>
      </c>
      <c r="J61">
        <v>0</v>
      </c>
      <c r="K61" t="str">
        <v>P3-01, P3-09, P6-06</v>
      </c>
      <c r="L61" t="str">
        <v>Staging (Hostinger)</v>
      </c>
      <c r="M61" t="str">
        <v>inc/seo.php, header.php</v>
      </c>
      <c r="N61" t="str">
        <v>Compare head tags with baseline; Rich Results test on 3 articles</v>
      </c>
      <c r="O61" t="str">
        <v>SEO output matches or improves baseline; valid structured data</v>
      </c>
      <c r="S61" t="str">
        <v>None</v>
      </c>
      <c r="T61" t="str">
        <v>Not Tested</v>
      </c>
      <c r="U61">
        <f>IF(A61="",0,IF(G61="Completed",1,IF(G61="Not Started",0,MIN(0.99,N(J61)))))</f>
        <v>0</v>
      </c>
      <c r="V61">
        <f>IF(OR(A61="",H61="",I61=""),0,MAX(0,MIN(1,(StatusDate-H61+1)/(I61-H61+1))))</f>
        <v>0</v>
      </c>
      <c r="W61">
        <f>IF(OR(A61="",I61="",G61="Completed"),"",I61-StatusDate)</f>
        <v>9</v>
      </c>
      <c r="X61" t="str">
        <f>IF(A61="","",IF(AND(G61&lt;&gt;"Completed",I61&lt;&gt;"",I61&lt;StatusDate),"OVERDUE",""))</f>
        <v/>
      </c>
      <c r="Y61" t="str">
        <f>IF(OR(A61="",K61=""),"",IF(SUMPRODUCT(($A$6:$A$400&lt;&gt;"")*ISNUMBER(SEARCH($A$6:$A$400,K61))*($G$6:$G$400&lt;&gt;"Completed"))=0,"✓ Ready","⏳ "&amp;SUMPRODUCT(($A$6:$A$400&lt;&gt;"")*ISNUMBER(SEARCH($A$6:$A$400,K61))*($G$6:$G$400&lt;&gt;"Completed"))&amp;" open"))</f>
        <v>⏳ 3 open</v>
      </c>
      <c r="Z61" t="str">
        <f>IF(A61="","",B61&amp;"|"&amp;COUNTIFS($B$6:B61,B61,$A$6:A61,"?*"))</f>
        <v>Phase 3|15</v>
      </c>
      <c r="AA61">
        <f>IF(OR(A61="",I61="",G61="Completed"),"",IF(I61&gt;=StatusDate,I61+ROW()/100000,""))</f>
        <v>46315.00061</v>
      </c>
      <c r="AB61" t="str">
        <f>IF(A61="","",IF(AND(G61&lt;&gt;"Completed",OR(G61="Blocked",AND(TRIM(P61)&lt;&gt;"",P61&lt;&gt;"None"))),ROW(),""))</f>
        <v/>
      </c>
      <c r="AC61" t="str">
        <f>IF(A61="","",IF(G61="Completed","Done",IF(G61="Blocked","Blocked",IF(X61="OVERDUE","Overdue",IF(AND(W61&lt;&gt;"",W61&lt;=2),"Due soon",IF(AND(Y61&lt;&gt;"",LEFT(Y61,1)="⏳",G61&lt;&gt;"Not Started"),"Dependency open",IF(AND(S61&lt;&gt;"None",S61&lt;&gt;"",G61&lt;&gt;"Completed"),"External req.","On track")))))))</f>
        <v>On track</v>
      </c>
    </row>
    <row r="62">
      <c r="A62" t="str">
        <v>P3-16</v>
      </c>
      <c r="B62" t="str">
        <v>Phase 3</v>
      </c>
      <c r="C62" t="str">
        <v>Phase QA</v>
      </c>
      <c r="D62" t="str">
        <v>Editorial templates sign-off</v>
      </c>
      <c r="E62" t="str">
        <v>Run template checks from QA sheet for article, category, author, tag and search templates.</v>
      </c>
      <c r="F62" t="str">
        <v>P0</v>
      </c>
      <c r="G62" t="str">
        <v>Not Started</v>
      </c>
      <c r="H62">
        <v>46315</v>
      </c>
      <c r="I62">
        <v>46315</v>
      </c>
      <c r="J62">
        <v>0</v>
      </c>
      <c r="K62" t="str">
        <v>P3-03, P3-11, P3-15</v>
      </c>
      <c r="L62" t="str">
        <v>Staging (Hostinger)</v>
      </c>
      <c r="M62" t="str">
        <v>—</v>
      </c>
      <c r="N62" t="str">
        <v>QA sheet rows for templates 2–4</v>
      </c>
      <c r="O62" t="str">
        <v>Templates approved for Phase 4</v>
      </c>
      <c r="S62" t="str">
        <v>None</v>
      </c>
      <c r="T62" t="str">
        <v>Not Tested</v>
      </c>
      <c r="U62">
        <f>IF(A62="",0,IF(G62="Completed",1,IF(G62="Not Started",0,MIN(0.99,N(J62)))))</f>
        <v>0</v>
      </c>
      <c r="V62">
        <f>IF(OR(A62="",H62="",I62=""),0,MAX(0,MIN(1,(StatusDate-H62+1)/(I62-H62+1))))</f>
        <v>0</v>
      </c>
      <c r="W62">
        <f>IF(OR(A62="",I62="",G62="Completed"),"",I62-StatusDate)</f>
        <v>9</v>
      </c>
      <c r="X62" t="str">
        <f>IF(A62="","",IF(AND(G62&lt;&gt;"Completed",I62&lt;&gt;"",I62&lt;StatusDate),"OVERDUE",""))</f>
        <v/>
      </c>
      <c r="Y62" t="str">
        <f>IF(OR(A62="",K62=""),"",IF(SUMPRODUCT(($A$6:$A$400&lt;&gt;"")*ISNUMBER(SEARCH($A$6:$A$400,K62))*($G$6:$G$400&lt;&gt;"Completed"))=0,"✓ Ready","⏳ "&amp;SUMPRODUCT(($A$6:$A$400&lt;&gt;"")*ISNUMBER(SEARCH($A$6:$A$400,K62))*($G$6:$G$400&lt;&gt;"Completed"))&amp;" open"))</f>
        <v>⏳ 3 open</v>
      </c>
      <c r="Z62" t="str">
        <f>IF(A62="","",B62&amp;"|"&amp;COUNTIFS($B$6:B62,B62,$A$6:A62,"?*"))</f>
        <v>Phase 3|16</v>
      </c>
      <c r="AA62">
        <f>IF(OR(A62="",I62="",G62="Completed"),"",IF(I62&gt;=StatusDate,I62+ROW()/100000,""))</f>
        <v>46315.00062</v>
      </c>
      <c r="AB62" t="str">
        <f>IF(A62="","",IF(AND(G62&lt;&gt;"Completed",OR(G62="Blocked",AND(TRIM(P62)&lt;&gt;"",P62&lt;&gt;"None"))),ROW(),""))</f>
        <v/>
      </c>
      <c r="AC62" t="str">
        <f>IF(A62="","",IF(G62="Completed","Done",IF(G62="Blocked","Blocked",IF(X62="OVERDUE","Overdue",IF(AND(W62&lt;&gt;"",W62&lt;=2),"Due soon",IF(AND(Y62&lt;&gt;"",LEFT(Y62,1)="⏳",G62&lt;&gt;"Not Started"),"Dependency open",IF(AND(S62&lt;&gt;"None",S62&lt;&gt;"",G62&lt;&gt;"Completed"),"External req.","On track")))))))</f>
        <v>On track</v>
      </c>
    </row>
    <row r="63">
      <c r="A63" t="str">
        <v>P4-01</v>
      </c>
      <c r="B63" t="str">
        <v>Phase 4</v>
      </c>
      <c r="C63" t="str">
        <v>CPT Engine</v>
      </c>
      <c r="D63" t="str">
        <v>Register magazine_issue custom post type</v>
      </c>
      <c r="E63" t="str">
        <v>inc/cpt-issues.php: CPT with archive, rewrite slug, REST support, labels in Arabic, supports title/thumbnail/excerpt.</v>
      </c>
      <c r="F63" t="str">
        <v>P0</v>
      </c>
      <c r="G63" t="str">
        <v>Completed</v>
      </c>
      <c r="H63">
        <v>46316</v>
      </c>
      <c r="I63">
        <v>46316</v>
      </c>
      <c r="J63">
        <v>1</v>
      </c>
      <c r="K63" t="str">
        <v>P1-17</v>
      </c>
      <c r="L63" t="str">
        <v>Staging (Hostinger)</v>
      </c>
      <c r="M63" t="str">
        <v>inc/cpt-issues.php</v>
      </c>
      <c r="N63" t="str">
        <v>Create test issue; check archive URL and REST response; flush permalinks</v>
      </c>
      <c r="O63" t="str">
        <v>CPT live with clean URLs</v>
      </c>
      <c r="Q63" t="str">
        <v>CPT `issue` registered in setup.php (archive slug issues). Named issue rather than magazine_issue — functionally equivalent.</v>
      </c>
      <c r="R63">
        <v>46306</v>
      </c>
      <c r="S63" t="str">
        <v>None</v>
      </c>
      <c r="T63" t="str">
        <v>Not Tested</v>
      </c>
      <c r="U63">
        <f>IF(A63="",0,IF(G63="Completed",1,IF(G63="Not Started",0,MIN(0.99,N(J63)))))</f>
        <v>0</v>
      </c>
      <c r="V63">
        <f>IF(OR(A63="",H63="",I63=""),0,MAX(0,MIN(1,(StatusDate-H63+1)/(I63-H63+1))))</f>
        <v>0</v>
      </c>
      <c r="W63">
        <f>IF(OR(A63="",I63="",G63="Completed"),"",I63-StatusDate)</f>
        <v>10</v>
      </c>
      <c r="X63" t="str">
        <f>IF(A63="","",IF(AND(G63&lt;&gt;"Completed",I63&lt;&gt;"",I63&lt;StatusDate),"OVERDUE",""))</f>
        <v/>
      </c>
      <c r="Y63" t="str">
        <f>IF(OR(A63="",K63=""),"",IF(SUMPRODUCT(($A$6:$A$400&lt;&gt;"")*ISNUMBER(SEARCH($A$6:$A$400,K63))*($G$6:$G$400&lt;&gt;"Completed"))=0,"✓ Ready","⏳ "&amp;SUMPRODUCT(($A$6:$A$400&lt;&gt;"")*ISNUMBER(SEARCH($A$6:$A$400,K63))*($G$6:$G$400&lt;&gt;"Completed"))&amp;" open"))</f>
        <v>⏳ 1 open</v>
      </c>
      <c r="Z63" t="str">
        <f>IF(A63="","",B63&amp;"|"&amp;COUNTIFS($B$6:B63,B63,$A$6:A63,"?*"))</f>
        <v>Phase 4|1</v>
      </c>
      <c r="AA63">
        <f>IF(OR(A63="",I63="",G63="Completed"),"",IF(I63&gt;=StatusDate,I63+ROW()/100000,""))</f>
        <v>46316.00063</v>
      </c>
      <c r="AB63" t="str">
        <f>IF(A63="","",IF(AND(G63&lt;&gt;"Completed",OR(G63="Blocked",AND(TRIM(P63)&lt;&gt;"",P63&lt;&gt;"None"))),ROW(),""))</f>
        <v/>
      </c>
      <c r="AC63" t="str">
        <f>IF(A63="","",IF(G63="Completed","Done",IF(G63="Blocked","Blocked",IF(X63="OVERDUE","Overdue",IF(AND(W63&lt;&gt;"",W63&lt;=2),"Due soon",IF(AND(Y63&lt;&gt;"",LEFT(Y63,1)="⏳",G63&lt;&gt;"Not Started"),"Dependency open",IF(AND(S63&lt;&gt;"None",S63&lt;&gt;"",G63&lt;&gt;"Completed"),"External req.","On track")))))))</f>
        <v>On track</v>
      </c>
    </row>
    <row r="64">
      <c r="A64" t="str">
        <v>P4-02</v>
      </c>
      <c r="B64" t="str">
        <v>Phase 4</v>
      </c>
      <c r="C64" t="str">
        <v>CPT Engine</v>
      </c>
      <c r="D64" t="str">
        <v>Issue fields: number, date, year, decade, PDF, access</v>
      </c>
      <c r="E64" t="str">
        <v>Meta fields: issue number, publication month/year, year &amp; decade (auto-derived), PDF attachment, page count, access level (free / members / subscribers), featured articles.</v>
      </c>
      <c r="F64" t="str">
        <v>P0</v>
      </c>
      <c r="G64" t="str">
        <v>Not Started</v>
      </c>
      <c r="H64">
        <v>46316</v>
      </c>
      <c r="I64">
        <v>46316</v>
      </c>
      <c r="J64">
        <v>0</v>
      </c>
      <c r="K64" t="str">
        <v>P4-01</v>
      </c>
      <c r="L64" t="str">
        <v>Staging (Hostinger)</v>
      </c>
      <c r="M64" t="str">
        <v>inc/issue-meta.php</v>
      </c>
      <c r="N64" t="str">
        <v>Save issue; decade auto-calculates; invalid values rejected</v>
      </c>
      <c r="O64" t="str">
        <v>All issue metadata editable and validated</v>
      </c>
      <c r="S64" t="str">
        <v>None</v>
      </c>
      <c r="T64" t="str">
        <v>Not Tested</v>
      </c>
      <c r="U64">
        <f>IF(A64="",0,IF(G64="Completed",1,IF(G64="Not Started",0,MIN(0.99,N(J64)))))</f>
        <v>0</v>
      </c>
      <c r="V64">
        <f>IF(OR(A64="",H64="",I64=""),0,MAX(0,MIN(1,(StatusDate-H64+1)/(I64-H64+1))))</f>
        <v>0</v>
      </c>
      <c r="W64">
        <f>IF(OR(A64="",I64="",G64="Completed"),"",I64-StatusDate)</f>
        <v>10</v>
      </c>
      <c r="X64" t="str">
        <f>IF(A64="","",IF(AND(G64&lt;&gt;"Completed",I64&lt;&gt;"",I64&lt;StatusDate),"OVERDUE",""))</f>
        <v/>
      </c>
      <c r="Y64" t="str">
        <f>IF(OR(A64="",K64=""),"",IF(SUMPRODUCT(($A$6:$A$400&lt;&gt;"")*ISNUMBER(SEARCH($A$6:$A$400,K64))*($G$6:$G$400&lt;&gt;"Completed"))=0,"✓ Ready","⏳ "&amp;SUMPRODUCT(($A$6:$A$400&lt;&gt;"")*ISNUMBER(SEARCH($A$6:$A$400,K64))*($G$6:$G$400&lt;&gt;"Completed"))&amp;" open"))</f>
        <v>⏳ 1 open</v>
      </c>
      <c r="Z64" t="str">
        <f>IF(A64="","",B64&amp;"|"&amp;COUNTIFS($B$6:B64,B64,$A$6:A64,"?*"))</f>
        <v>Phase 4|2</v>
      </c>
      <c r="AA64">
        <f>IF(OR(A64="",I64="",G64="Completed"),"",IF(I64&gt;=StatusDate,I64+ROW()/100000,""))</f>
        <v>46316.00064</v>
      </c>
      <c r="AB64" t="str">
        <f>IF(A64="","",IF(AND(G64&lt;&gt;"Completed",OR(G64="Blocked",AND(TRIM(P64)&lt;&gt;"",P64&lt;&gt;"None"))),ROW(),""))</f>
        <v/>
      </c>
      <c r="AC64" t="str">
        <f>IF(A64="","",IF(G64="Completed","Done",IF(G64="Blocked","Blocked",IF(X64="OVERDUE","Overdue",IF(AND(W64&lt;&gt;"",W64&lt;=2),"Due soon",IF(AND(Y64&lt;&gt;"",LEFT(Y64,1)="⏳",G64&lt;&gt;"Not Started"),"Dependency open",IF(AND(S64&lt;&gt;"None",S64&lt;&gt;"",G64&lt;&gt;"Completed"),"External req.","On track")))))))</f>
        <v>On track</v>
      </c>
    </row>
    <row r="65">
      <c r="A65" t="str">
        <v>P4-03</v>
      </c>
      <c r="B65" t="str">
        <v>Phase 4</v>
      </c>
      <c r="C65" t="str">
        <v>Historical Assets</v>
      </c>
      <c r="D65" t="str">
        <v>Collect 48 historical issue PDFs, covers &amp; manifest</v>
      </c>
      <c r="E65" t="str">
        <v>Request from client: all 48 PDFs, cover images and a manifest (issue number, date, title). Track missing items.</v>
      </c>
      <c r="F65" t="str">
        <v>P0</v>
      </c>
      <c r="G65" t="str">
        <v>Not Started</v>
      </c>
      <c r="H65">
        <v>46307</v>
      </c>
      <c r="I65">
        <v>46315</v>
      </c>
      <c r="J65">
        <v>0</v>
      </c>
      <c r="L65" t="str">
        <v>External / Third-party</v>
      </c>
      <c r="M65" t="str">
        <v>url: shared drive</v>
      </c>
      <c r="N65" t="str">
        <v>Count received files = 48 PDFs + 48 covers; manifest complete</v>
      </c>
      <c r="O65" t="str">
        <v>All historical assets received and checked</v>
      </c>
      <c r="S65" t="str">
        <v>Historical Assets</v>
      </c>
      <c r="T65" t="str">
        <v>Not Tested</v>
      </c>
      <c r="U65">
        <f>IF(A65="",0,IF(G65="Completed",1,IF(G65="Not Started",0,MIN(0.99,N(J65)))))</f>
        <v>0</v>
      </c>
      <c r="V65">
        <f>IF(OR(A65="",H65="",I65=""),0,MAX(0,MIN(1,(StatusDate-H65+1)/(I65-H65+1))))</f>
        <v>0</v>
      </c>
      <c r="W65">
        <f>IF(OR(A65="",I65="",G65="Completed"),"",I65-StatusDate)</f>
        <v>9</v>
      </c>
      <c r="X65" t="str">
        <f>IF(A65="","",IF(AND(G65&lt;&gt;"Completed",I65&lt;&gt;"",I65&lt;StatusDate),"OVERDUE",""))</f>
        <v/>
      </c>
      <c r="Y65" t="str">
        <f>IF(OR(A65="",K65=""),"",IF(SUMPRODUCT(($A$6:$A$400&lt;&gt;"")*ISNUMBER(SEARCH($A$6:$A$400,K65))*($G$6:$G$400&lt;&gt;"Completed"))=0,"✓ Ready","⏳ "&amp;SUMPRODUCT(($A$6:$A$400&lt;&gt;"")*ISNUMBER(SEARCH($A$6:$A$400,K65))*($G$6:$G$400&lt;&gt;"Completed"))&amp;" open"))</f>
        <v/>
      </c>
      <c r="Z65" t="str">
        <f>IF(A65="","",B65&amp;"|"&amp;COUNTIFS($B$6:B65,B65,$A$6:A65,"?*"))</f>
        <v>Phase 4|3</v>
      </c>
      <c r="AA65">
        <f>IF(OR(A65="",I65="",G65="Completed"),"",IF(I65&gt;=StatusDate,I65+ROW()/100000,""))</f>
        <v>46315.00065</v>
      </c>
      <c r="AB65" t="str">
        <f>IF(A65="","",IF(AND(G65&lt;&gt;"Completed",OR(G65="Blocked",AND(TRIM(P65)&lt;&gt;"",P65&lt;&gt;"None"))),ROW(),""))</f>
        <v/>
      </c>
      <c r="AC65" t="str">
        <f>IF(A65="","",IF(G65="Completed","Done",IF(G65="Blocked","Blocked",IF(X65="OVERDUE","Overdue",IF(AND(W65&lt;&gt;"",W65&lt;=2),"Due soon",IF(AND(Y65&lt;&gt;"",LEFT(Y65,1)="⏳",G65&lt;&gt;"Not Started"),"Dependency open",IF(AND(S65&lt;&gt;"None",S65&lt;&gt;"",G65&lt;&gt;"Completed"),"External req.","On track")))))))</f>
        <v>External req.</v>
      </c>
    </row>
    <row r="66">
      <c r="A66" t="str">
        <v>P4-04</v>
      </c>
      <c r="B66" t="str">
        <v>Phase 4</v>
      </c>
      <c r="C66" t="str">
        <v>Migration</v>
      </c>
      <c r="D66" t="str">
        <v>Historical issue migration (import 48 issues)</v>
      </c>
      <c r="E66" t="str">
        <v>CSV manifest + idempotent importer (WP-CLI via Hostinger SSH or one-time admin tool) creating issues, attaching covers and PDFs; re-runnable without duplicates.</v>
      </c>
      <c r="F66" t="str">
        <v>P0</v>
      </c>
      <c r="G66" t="str">
        <v>Not Started</v>
      </c>
      <c r="H66">
        <v>46316</v>
      </c>
      <c r="I66">
        <v>46316</v>
      </c>
      <c r="J66">
        <v>0</v>
      </c>
      <c r="K66" t="str">
        <v>P4-02, P4-03</v>
      </c>
      <c r="L66" t="str">
        <v>Staging (Hostinger)</v>
      </c>
      <c r="M66" t="str">
        <v>inc/issue-import.php, issues-manifest.csv</v>
      </c>
      <c r="N66" t="str">
        <v>Run import twice; still 48 issues; spot-check 10</v>
      </c>
      <c r="O66" t="str">
        <v>All 48 issues imported with correct metadata, covers and PDFs</v>
      </c>
      <c r="S66" t="str">
        <v>Server Access</v>
      </c>
      <c r="T66" t="str">
        <v>Not Tested</v>
      </c>
      <c r="U66">
        <f>IF(A66="",0,IF(G66="Completed",1,IF(G66="Not Started",0,MIN(0.99,N(J66)))))</f>
        <v>0</v>
      </c>
      <c r="V66">
        <f>IF(OR(A66="",H66="",I66=""),0,MAX(0,MIN(1,(StatusDate-H66+1)/(I66-H66+1))))</f>
        <v>0</v>
      </c>
      <c r="W66">
        <f>IF(OR(A66="",I66="",G66="Completed"),"",I66-StatusDate)</f>
        <v>10</v>
      </c>
      <c r="X66" t="str">
        <f>IF(A66="","",IF(AND(G66&lt;&gt;"Completed",I66&lt;&gt;"",I66&lt;StatusDate),"OVERDUE",""))</f>
        <v/>
      </c>
      <c r="Y66" t="str">
        <f>IF(OR(A66="",K66=""),"",IF(SUMPRODUCT(($A$6:$A$400&lt;&gt;"")*ISNUMBER(SEARCH($A$6:$A$400,K66))*($G$6:$G$400&lt;&gt;"Completed"))=0,"✓ Ready","⏳ "&amp;SUMPRODUCT(($A$6:$A$400&lt;&gt;"")*ISNUMBER(SEARCH($A$6:$A$400,K66))*($G$6:$G$400&lt;&gt;"Completed"))&amp;" open"))</f>
        <v>⏳ 2 open</v>
      </c>
      <c r="Z66" t="str">
        <f>IF(A66="","",B66&amp;"|"&amp;COUNTIFS($B$6:B66,B66,$A$6:A66,"?*"))</f>
        <v>Phase 4|4</v>
      </c>
      <c r="AA66">
        <f>IF(OR(A66="",I66="",G66="Completed"),"",IF(I66&gt;=StatusDate,I66+ROW()/100000,""))</f>
        <v>46316.00066</v>
      </c>
      <c r="AB66" t="str">
        <f>IF(A66="","",IF(AND(G66&lt;&gt;"Completed",OR(G66="Blocked",AND(TRIM(P66)&lt;&gt;"",P66&lt;&gt;"None"))),ROW(),""))</f>
        <v/>
      </c>
      <c r="AC66" t="str">
        <f>IF(A66="","",IF(G66="Completed","Done",IF(G66="Blocked","Blocked",IF(X66="OVERDUE","Overdue",IF(AND(W66&lt;&gt;"",W66&lt;=2),"Due soon",IF(AND(Y66&lt;&gt;"",LEFT(Y66,1)="⏳",G66&lt;&gt;"Not Started"),"Dependency open",IF(AND(S66&lt;&gt;"None",S66&lt;&gt;"",G66&lt;&gt;"Completed"),"External req.","On track")))))))</f>
        <v>External req.</v>
      </c>
    </row>
    <row r="67">
      <c r="A67" t="str">
        <v>P4-05</v>
      </c>
      <c r="B67" t="str">
        <v>Phase 4</v>
      </c>
      <c r="C67" t="str">
        <v>Cover Images</v>
      </c>
      <c r="D67" t="str">
        <v>Cover image optimization</v>
      </c>
      <c r="E67" t="str">
        <v>Generate WebP and required sizes for covers; consistent aspect ratio.</v>
      </c>
      <c r="F67" t="str">
        <v>P1</v>
      </c>
      <c r="G67" t="str">
        <v>Not Started</v>
      </c>
      <c r="H67">
        <v>46316</v>
      </c>
      <c r="I67">
        <v>46316</v>
      </c>
      <c r="J67">
        <v>0</v>
      </c>
      <c r="K67" t="str">
        <v>P4-04</v>
      </c>
      <c r="L67" t="str">
        <v>Staging (Hostinger)</v>
      </c>
      <c r="M67" t="str">
        <v>inc/media.php</v>
      </c>
      <c r="N67" t="str">
        <v>Check archive weight and image dimensions</v>
      </c>
      <c r="O67" t="str">
        <v>Covers sharp and lightweight</v>
      </c>
      <c r="S67" t="str">
        <v>None</v>
      </c>
      <c r="T67" t="str">
        <v>Not Tested</v>
      </c>
      <c r="U67">
        <f>IF(A67="",0,IF(G67="Completed",1,IF(G67="Not Started",0,MIN(0.99,N(J67)))))</f>
        <v>0</v>
      </c>
      <c r="V67">
        <f>IF(OR(A67="",H67="",I67=""),0,MAX(0,MIN(1,(StatusDate-H67+1)/(I67-H67+1))))</f>
        <v>0</v>
      </c>
      <c r="W67">
        <f>IF(OR(A67="",I67="",G67="Completed"),"",I67-StatusDate)</f>
        <v>10</v>
      </c>
      <c r="X67" t="str">
        <f>IF(A67="","",IF(AND(G67&lt;&gt;"Completed",I67&lt;&gt;"",I67&lt;StatusDate),"OVERDUE",""))</f>
        <v/>
      </c>
      <c r="Y67" t="str">
        <f>IF(OR(A67="",K67=""),"",IF(SUMPRODUCT(($A$6:$A$400&lt;&gt;"")*ISNUMBER(SEARCH($A$6:$A$400,K67))*($G$6:$G$400&lt;&gt;"Completed"))=0,"✓ Ready","⏳ "&amp;SUMPRODUCT(($A$6:$A$400&lt;&gt;"")*ISNUMBER(SEARCH($A$6:$A$400,K67))*($G$6:$G$400&lt;&gt;"Completed"))&amp;" open"))</f>
        <v>⏳ 1 open</v>
      </c>
      <c r="Z67" t="str">
        <f>IF(A67="","",B67&amp;"|"&amp;COUNTIFS($B$6:B67,B67,$A$6:A67,"?*"))</f>
        <v>Phase 4|5</v>
      </c>
      <c r="AA67">
        <f>IF(OR(A67="",I67="",G67="Completed"),"",IF(I67&gt;=StatusDate,I67+ROW()/100000,""))</f>
        <v>46316.00067</v>
      </c>
      <c r="AB67" t="str">
        <f>IF(A67="","",IF(AND(G67&lt;&gt;"Completed",OR(G67="Blocked",AND(TRIM(P67)&lt;&gt;"",P67&lt;&gt;"None"))),ROW(),""))</f>
        <v/>
      </c>
      <c r="AC67" t="str">
        <f>IF(A67="","",IF(G67="Completed","Done",IF(G67="Blocked","Blocked",IF(X67="OVERDUE","Overdue",IF(AND(W67&lt;&gt;"",W67&lt;=2),"Due soon",IF(AND(Y67&lt;&gt;"",LEFT(Y67,1)="⏳",G67&lt;&gt;"Not Started"),"Dependency open",IF(AND(S67&lt;&gt;"None",S67&lt;&gt;"",G67&lt;&gt;"Completed"),"External req.","On track")))))))</f>
        <v>On track</v>
      </c>
    </row>
    <row r="68">
      <c r="A68" t="str">
        <v>P4-06</v>
      </c>
      <c r="B68" t="str">
        <v>Phase 4</v>
      </c>
      <c r="C68" t="str">
        <v>Issue Archive</v>
      </c>
      <c r="D68" t="str">
        <v>Issue archive template</v>
      </c>
      <c r="E68" t="str">
        <v>archive-magazine_issue.php: cover grid, newest first, issue number/date, pagination.</v>
      </c>
      <c r="F68" t="str">
        <v>P0</v>
      </c>
      <c r="G68" t="str">
        <v>In Progress</v>
      </c>
      <c r="H68">
        <v>46316</v>
      </c>
      <c r="I68">
        <v>46316</v>
      </c>
      <c r="J68">
        <v>0.4</v>
      </c>
      <c r="K68" t="str">
        <v>P4-01</v>
      </c>
      <c r="L68" t="str">
        <v>Staging (Hostinger)</v>
      </c>
      <c r="M68" t="str">
        <v>archive-magazine_issue.php, template-parts/issue/card.php</v>
      </c>
      <c r="N68" t="str">
        <v>Open archive; check ordering and pagination</v>
      </c>
      <c r="O68" t="str">
        <v>Archive lists all issues correctly</v>
      </c>
      <c r="Q68" t="str">
        <v>archive-issue.php present (prototype conversion). Full dynamic grid + pagination polish pending.</v>
      </c>
      <c r="S68" t="str">
        <v>None</v>
      </c>
      <c r="T68" t="str">
        <v>Not Tested</v>
      </c>
      <c r="U68">
        <f>IF(A68="",0,IF(G68="Completed",1,IF(G68="Not Started",0,MIN(0.99,N(J68)))))</f>
        <v>0</v>
      </c>
      <c r="V68">
        <f>IF(OR(A68="",H68="",I68=""),0,MAX(0,MIN(1,(StatusDate-H68+1)/(I68-H68+1))))</f>
        <v>0</v>
      </c>
      <c r="W68">
        <f>IF(OR(A68="",I68="",G68="Completed"),"",I68-StatusDate)</f>
        <v>10</v>
      </c>
      <c r="X68" t="str">
        <f>IF(A68="","",IF(AND(G68&lt;&gt;"Completed",I68&lt;&gt;"",I68&lt;StatusDate),"OVERDUE",""))</f>
        <v/>
      </c>
      <c r="Y68" t="str">
        <f>IF(OR(A68="",K68=""),"",IF(SUMPRODUCT(($A$6:$A$400&lt;&gt;"")*ISNUMBER(SEARCH($A$6:$A$400,K68))*($G$6:$G$400&lt;&gt;"Completed"))=0,"✓ Ready","⏳ "&amp;SUMPRODUCT(($A$6:$A$400&lt;&gt;"")*ISNUMBER(SEARCH($A$6:$A$400,K68))*($G$6:$G$400&lt;&gt;"Completed"))&amp;" open"))</f>
        <v>⏳ 1 open</v>
      </c>
      <c r="Z68" t="str">
        <f>IF(A68="","",B68&amp;"|"&amp;COUNTIFS($B$6:B68,B68,$A$6:A68,"?*"))</f>
        <v>Phase 4|6</v>
      </c>
      <c r="AA68">
        <f>IF(OR(A68="",I68="",G68="Completed"),"",IF(I68&gt;=StatusDate,I68+ROW()/100000,""))</f>
        <v>46316.00068</v>
      </c>
      <c r="AB68" t="str">
        <f>IF(A68="","",IF(AND(G68&lt;&gt;"Completed",OR(G68="Blocked",AND(TRIM(P68)&lt;&gt;"",P68&lt;&gt;"None"))),ROW(),""))</f>
        <v/>
      </c>
      <c r="AC68" t="str">
        <f>IF(A68="","",IF(G68="Completed","Done",IF(G68="Blocked","Blocked",IF(X68="OVERDUE","Overdue",IF(AND(W68&lt;&gt;"",W68&lt;=2),"Due soon",IF(AND(Y68&lt;&gt;"",LEFT(Y68,1)="⏳",G68&lt;&gt;"Not Started"),"Dependency open",IF(AND(S68&lt;&gt;"None",S68&lt;&gt;"",G68&lt;&gt;"Completed"),"External req.","On track")))))))</f>
        <v>On track</v>
      </c>
    </row>
    <row r="69">
      <c r="A69" t="str">
        <v>P4-07</v>
      </c>
      <c r="B69" t="str">
        <v>Phase 4</v>
      </c>
      <c r="C69" t="str">
        <v>Issue Archive</v>
      </c>
      <c r="D69" t="str">
        <v>Year &amp; decade filtering</v>
      </c>
      <c r="E69" t="str">
        <v>Filter issues by decade then year (query vars + optional AJAX), crawlable URLs.</v>
      </c>
      <c r="F69" t="str">
        <v>P1</v>
      </c>
      <c r="G69" t="str">
        <v>Not Started</v>
      </c>
      <c r="H69">
        <v>46316</v>
      </c>
      <c r="I69">
        <v>46316</v>
      </c>
      <c r="J69">
        <v>0</v>
      </c>
      <c r="K69" t="str">
        <v>P4-06</v>
      </c>
      <c r="L69" t="str">
        <v>Staging (Hostinger)</v>
      </c>
      <c r="M69" t="str">
        <v>archive-magazine_issue.php, assets/js/modules/issue-filter.js</v>
      </c>
      <c r="N69" t="str">
        <v>Filter each decade/year; counts match manifest</v>
      </c>
      <c r="O69" t="str">
        <v>Filters return correct issues</v>
      </c>
      <c r="S69" t="str">
        <v>None</v>
      </c>
      <c r="T69" t="str">
        <v>Not Tested</v>
      </c>
      <c r="U69">
        <f>IF(A69="",0,IF(G69="Completed",1,IF(G69="Not Started",0,MIN(0.99,N(J69)))))</f>
        <v>0</v>
      </c>
      <c r="V69">
        <f>IF(OR(A69="",H69="",I69=""),0,MAX(0,MIN(1,(StatusDate-H69+1)/(I69-H69+1))))</f>
        <v>0</v>
      </c>
      <c r="W69">
        <f>IF(OR(A69="",I69="",G69="Completed"),"",I69-StatusDate)</f>
        <v>10</v>
      </c>
      <c r="X69" t="str">
        <f>IF(A69="","",IF(AND(G69&lt;&gt;"Completed",I69&lt;&gt;"",I69&lt;StatusDate),"OVERDUE",""))</f>
        <v/>
      </c>
      <c r="Y69" t="str">
        <f>IF(OR(A69="",K69=""),"",IF(SUMPRODUCT(($A$6:$A$400&lt;&gt;"")*ISNUMBER(SEARCH($A$6:$A$400,K69))*($G$6:$G$400&lt;&gt;"Completed"))=0,"✓ Ready","⏳ "&amp;SUMPRODUCT(($A$6:$A$400&lt;&gt;"")*ISNUMBER(SEARCH($A$6:$A$400,K69))*($G$6:$G$400&lt;&gt;"Completed"))&amp;" open"))</f>
        <v>⏳ 1 open</v>
      </c>
      <c r="Z69" t="str">
        <f>IF(A69="","",B69&amp;"|"&amp;COUNTIFS($B$6:B69,B69,$A$6:A69,"?*"))</f>
        <v>Phase 4|7</v>
      </c>
      <c r="AA69">
        <f>IF(OR(A69="",I69="",G69="Completed"),"",IF(I69&gt;=StatusDate,I69+ROW()/100000,""))</f>
        <v>46316.00069</v>
      </c>
      <c r="AB69" t="str">
        <f>IF(A69="","",IF(AND(G69&lt;&gt;"Completed",OR(G69="Blocked",AND(TRIM(P69)&lt;&gt;"",P69&lt;&gt;"None"))),ROW(),""))</f>
        <v/>
      </c>
      <c r="AC69" t="str">
        <f>IF(A69="","",IF(G69="Completed","Done",IF(G69="Blocked","Blocked",IF(X69="OVERDUE","Overdue",IF(AND(W69&lt;&gt;"",W69&lt;=2),"Due soon",IF(AND(Y69&lt;&gt;"",LEFT(Y69,1)="⏳",G69&lt;&gt;"Not Started"),"Dependency open",IF(AND(S69&lt;&gt;"None",S69&lt;&gt;"",G69&lt;&gt;"Completed"),"External req.","On track")))))))</f>
        <v>On track</v>
      </c>
    </row>
    <row r="70">
      <c r="A70" t="str">
        <v>P4-08</v>
      </c>
      <c r="B70" t="str">
        <v>Phase 4</v>
      </c>
      <c r="C70" t="str">
        <v>Single Issue</v>
      </c>
      <c r="D70" t="str">
        <v>Single issue page</v>
      </c>
      <c r="E70" t="str">
        <v>single-magazine_issue.php: large cover, issue details, highlights/table of contents, read &amp; download actions, previous/next issue.</v>
      </c>
      <c r="F70" t="str">
        <v>P0</v>
      </c>
      <c r="G70" t="str">
        <v>In Progress</v>
      </c>
      <c r="H70">
        <v>46317</v>
      </c>
      <c r="I70">
        <v>46317</v>
      </c>
      <c r="J70">
        <v>0.4</v>
      </c>
      <c r="K70" t="str">
        <v>P4-02</v>
      </c>
      <c r="L70" t="str">
        <v>Staging (Hostinger)</v>
      </c>
      <c r="M70" t="str">
        <v>single-magazine_issue.php</v>
      </c>
      <c r="N70" t="str">
        <v>Open 5 issues incl. oldest and newest</v>
      </c>
      <c r="O70" t="str">
        <v>Single issue page complete for every issue</v>
      </c>
      <c r="Q70" t="str">
        <v>single-issue.php present; Flipbook/PDF access later phases.</v>
      </c>
      <c r="S70" t="str">
        <v>None</v>
      </c>
      <c r="T70" t="str">
        <v>Not Tested</v>
      </c>
      <c r="U70">
        <f>IF(A70="",0,IF(G70="Completed",1,IF(G70="Not Started",0,MIN(0.99,N(J70)))))</f>
        <v>0</v>
      </c>
      <c r="V70">
        <f>IF(OR(A70="",H70="",I70=""),0,MAX(0,MIN(1,(StatusDate-H70+1)/(I70-H70+1))))</f>
        <v>0</v>
      </c>
      <c r="W70">
        <f>IF(OR(A70="",I70="",G70="Completed"),"",I70-StatusDate)</f>
        <v>11</v>
      </c>
      <c r="X70" t="str">
        <f>IF(A70="","",IF(AND(G70&lt;&gt;"Completed",I70&lt;&gt;"",I70&lt;StatusDate),"OVERDUE",""))</f>
        <v/>
      </c>
      <c r="Y70" t="str">
        <f>IF(OR(A70="",K70=""),"",IF(SUMPRODUCT(($A$6:$A$400&lt;&gt;"")*ISNUMBER(SEARCH($A$6:$A$400,K70))*($G$6:$G$400&lt;&gt;"Completed"))=0,"✓ Ready","⏳ "&amp;SUMPRODUCT(($A$6:$A$400&lt;&gt;"")*ISNUMBER(SEARCH($A$6:$A$400,K70))*($G$6:$G$400&lt;&gt;"Completed"))&amp;" open"))</f>
        <v>⏳ 1 open</v>
      </c>
      <c r="Z70" t="str">
        <f>IF(A70="","",B70&amp;"|"&amp;COUNTIFS($B$6:B70,B70,$A$6:A70,"?*"))</f>
        <v>Phase 4|8</v>
      </c>
      <c r="AA70">
        <f>IF(OR(A70="",I70="",G70="Completed"),"",IF(I70&gt;=StatusDate,I70+ROW()/100000,""))</f>
        <v>46317.0007</v>
      </c>
      <c r="AB70" t="str">
        <f>IF(A70="","",IF(AND(G70&lt;&gt;"Completed",OR(G70="Blocked",AND(TRIM(P70)&lt;&gt;"",P70&lt;&gt;"None"))),ROW(),""))</f>
        <v/>
      </c>
      <c r="AC70" t="str">
        <f>IF(A70="","",IF(G70="Completed","Done",IF(G70="Blocked","Blocked",IF(X70="OVERDUE","Overdue",IF(AND(W70&lt;&gt;"",W70&lt;=2),"Due soon",IF(AND(Y70&lt;&gt;"",LEFT(Y70,1)="⏳",G70&lt;&gt;"Not Started"),"Dependency open",IF(AND(S70&lt;&gt;"None",S70&lt;&gt;"",G70&lt;&gt;"Completed"),"External req.","On track")))))))</f>
        <v>On track</v>
      </c>
    </row>
    <row r="71">
      <c r="A71" t="str">
        <v>P4-09</v>
      </c>
      <c r="B71" t="str">
        <v>Phase 4</v>
      </c>
      <c r="C71" t="str">
        <v>Flipbook</v>
      </c>
      <c r="D71" t="str">
        <v>Flipbook reader</v>
      </c>
      <c r="E71" t="str">
        <v>Self-hosted PDF.js based flipbook, lazy-loaded only on issue pages, page navigation, zoom, fullscreen; mobile fallback to scroll view.</v>
      </c>
      <c r="F71" t="str">
        <v>P1</v>
      </c>
      <c r="G71" t="str">
        <v>Not Started</v>
      </c>
      <c r="H71">
        <v>46317</v>
      </c>
      <c r="I71">
        <v>46317</v>
      </c>
      <c r="J71">
        <v>0</v>
      </c>
      <c r="K71" t="str">
        <v>P4-08</v>
      </c>
      <c r="L71" t="str">
        <v>Staging (Hostinger)</v>
      </c>
      <c r="M71" t="str">
        <v>assets/js/modules/flipbook.js, assets/vendor/pdfjs/*</v>
      </c>
      <c r="N71" t="str">
        <v>Open large PDF on mobile &amp; desktop; measure load time</v>
      </c>
      <c r="O71" t="str">
        <v>Readable flipbook on desktop &amp; mobile without blocking page load</v>
      </c>
      <c r="S71" t="str">
        <v>None</v>
      </c>
      <c r="T71" t="str">
        <v>Not Tested</v>
      </c>
      <c r="U71">
        <f>IF(A71="",0,IF(G71="Completed",1,IF(G71="Not Started",0,MIN(0.99,N(J71)))))</f>
        <v>0</v>
      </c>
      <c r="V71">
        <f>IF(OR(A71="",H71="",I71=""),0,MAX(0,MIN(1,(StatusDate-H71+1)/(I71-H71+1))))</f>
        <v>0</v>
      </c>
      <c r="W71">
        <f>IF(OR(A71="",I71="",G71="Completed"),"",I71-StatusDate)</f>
        <v>11</v>
      </c>
      <c r="X71" t="str">
        <f>IF(A71="","",IF(AND(G71&lt;&gt;"Completed",I71&lt;&gt;"",I71&lt;StatusDate),"OVERDUE",""))</f>
        <v/>
      </c>
      <c r="Y71" t="str">
        <f>IF(OR(A71="",K71=""),"",IF(SUMPRODUCT(($A$6:$A$400&lt;&gt;"")*ISNUMBER(SEARCH($A$6:$A$400,K71))*($G$6:$G$400&lt;&gt;"Completed"))=0,"✓ Ready","⏳ "&amp;SUMPRODUCT(($A$6:$A$400&lt;&gt;"")*ISNUMBER(SEARCH($A$6:$A$400,K71))*($G$6:$G$400&lt;&gt;"Completed"))&amp;" open"))</f>
        <v>⏳ 1 open</v>
      </c>
      <c r="Z71" t="str">
        <f>IF(A71="","",B71&amp;"|"&amp;COUNTIFS($B$6:B71,B71,$A$6:A71,"?*"))</f>
        <v>Phase 4|9</v>
      </c>
      <c r="AA71">
        <f>IF(OR(A71="",I71="",G71="Completed"),"",IF(I71&gt;=StatusDate,I71+ROW()/100000,""))</f>
        <v>46317.00071</v>
      </c>
      <c r="AB71" t="str">
        <f>IF(A71="","",IF(AND(G71&lt;&gt;"Completed",OR(G71="Blocked",AND(TRIM(P71)&lt;&gt;"",P71&lt;&gt;"None"))),ROW(),""))</f>
        <v/>
      </c>
      <c r="AC71" t="str">
        <f>IF(A71="","",IF(G71="Completed","Done",IF(G71="Blocked","Blocked",IF(X71="OVERDUE","Overdue",IF(AND(W71&lt;&gt;"",W71&lt;=2),"Due soon",IF(AND(Y71&lt;&gt;"",LEFT(Y71,1)="⏳",G71&lt;&gt;"Not Started"),"Dependency open",IF(AND(S71&lt;&gt;"None",S71&lt;&gt;"",G71&lt;&gt;"Completed"),"External req.","On track")))))))</f>
        <v>On track</v>
      </c>
    </row>
    <row r="72">
      <c r="A72" t="str">
        <v>P4-10</v>
      </c>
      <c r="B72" t="str">
        <v>Phase 4</v>
      </c>
      <c r="C72" t="str">
        <v>PDF Downloads</v>
      </c>
      <c r="D72" t="str">
        <v>Secure PDF downloads</v>
      </c>
      <c r="E72" t="str">
        <v>Download endpoint with nonce and access check, download counter, correct filename/headers.</v>
      </c>
      <c r="F72" t="str">
        <v>P0</v>
      </c>
      <c r="G72" t="str">
        <v>Not Started</v>
      </c>
      <c r="H72">
        <v>46317</v>
      </c>
      <c r="I72">
        <v>46317</v>
      </c>
      <c r="J72">
        <v>0</v>
      </c>
      <c r="K72" t="str">
        <v>P4-08</v>
      </c>
      <c r="L72" t="str">
        <v>Staging (Hostinger)</v>
      </c>
      <c r="M72" t="str">
        <v>inc/pdf-download.php</v>
      </c>
      <c r="N72" t="str">
        <v>Download as guest/member/subscriber; check headers</v>
      </c>
      <c r="O72" t="str">
        <v>Downloads work and respect access rules</v>
      </c>
      <c r="S72" t="str">
        <v>None</v>
      </c>
      <c r="T72" t="str">
        <v>Not Tested</v>
      </c>
      <c r="U72">
        <f>IF(A72="",0,IF(G72="Completed",1,IF(G72="Not Started",0,MIN(0.99,N(J72)))))</f>
        <v>0</v>
      </c>
      <c r="V72">
        <f>IF(OR(A72="",H72="",I72=""),0,MAX(0,MIN(1,(StatusDate-H72+1)/(I72-H72+1))))</f>
        <v>0</v>
      </c>
      <c r="W72">
        <f>IF(OR(A72="",I72="",G72="Completed"),"",I72-StatusDate)</f>
        <v>11</v>
      </c>
      <c r="X72" t="str">
        <f>IF(A72="","",IF(AND(G72&lt;&gt;"Completed",I72&lt;&gt;"",I72&lt;StatusDate),"OVERDUE",""))</f>
        <v/>
      </c>
      <c r="Y72" t="str">
        <f>IF(OR(A72="",K72=""),"",IF(SUMPRODUCT(($A$6:$A$400&lt;&gt;"")*ISNUMBER(SEARCH($A$6:$A$400,K72))*($G$6:$G$400&lt;&gt;"Completed"))=0,"✓ Ready","⏳ "&amp;SUMPRODUCT(($A$6:$A$400&lt;&gt;"")*ISNUMBER(SEARCH($A$6:$A$400,K72))*($G$6:$G$400&lt;&gt;"Completed"))&amp;" open"))</f>
        <v>⏳ 1 open</v>
      </c>
      <c r="Z72" t="str">
        <f>IF(A72="","",B72&amp;"|"&amp;COUNTIFS($B$6:B72,B72,$A$6:A72,"?*"))</f>
        <v>Phase 4|10</v>
      </c>
      <c r="AA72">
        <f>IF(OR(A72="",I72="",G72="Completed"),"",IF(I72&gt;=StatusDate,I72+ROW()/100000,""))</f>
        <v>46317.00072</v>
      </c>
      <c r="AB72" t="str">
        <f>IF(A72="","",IF(AND(G72&lt;&gt;"Completed",OR(G72="Blocked",AND(TRIM(P72)&lt;&gt;"",P72&lt;&gt;"None"))),ROW(),""))</f>
        <v/>
      </c>
      <c r="AC72" t="str">
        <f>IF(A72="","",IF(G72="Completed","Done",IF(G72="Blocked","Blocked",IF(X72="OVERDUE","Overdue",IF(AND(W72&lt;&gt;"",W72&lt;=2),"Due soon",IF(AND(Y72&lt;&gt;"",LEFT(Y72,1)="⏳",G72&lt;&gt;"Not Started"),"Dependency open",IF(AND(S72&lt;&gt;"None",S72&lt;&gt;"",G72&lt;&gt;"Completed"),"External req.","On track")))))))</f>
        <v>On track</v>
      </c>
    </row>
    <row r="73">
      <c r="A73" t="str">
        <v>P4-11</v>
      </c>
      <c r="B73" t="str">
        <v>Phase 4</v>
      </c>
      <c r="C73" t="str">
        <v>Access Control</v>
      </c>
      <c r="D73" t="str">
        <v>Issue access restrictions</v>
      </c>
      <c r="E73" t="str">
        <v>Gate reader and downloads by access level/subscription tier; block direct /uploads PDF access (.htaccess/LiteSpeed rule) or serve via PHP.</v>
      </c>
      <c r="F73" t="str">
        <v>P0</v>
      </c>
      <c r="G73" t="str">
        <v>Not Started</v>
      </c>
      <c r="H73">
        <v>46317</v>
      </c>
      <c r="I73">
        <v>46317</v>
      </c>
      <c r="J73">
        <v>0</v>
      </c>
      <c r="K73" t="str">
        <v>P4-10, P5-07</v>
      </c>
      <c r="L73" t="str">
        <v>Staging (Hostinger)</v>
      </c>
      <c r="M73" t="str">
        <v>inc/pdf-download.php, .htaccess</v>
      </c>
      <c r="N73" t="str">
        <v>Try direct PDF URL logged-out; test each tier</v>
      </c>
      <c r="O73" t="str">
        <v>Restricted PDFs cannot be accessed without entitlement</v>
      </c>
      <c r="S73" t="str">
        <v>Server Access</v>
      </c>
      <c r="T73" t="str">
        <v>Not Tested</v>
      </c>
      <c r="U73">
        <f>IF(A73="",0,IF(G73="Completed",1,IF(G73="Not Started",0,MIN(0.99,N(J73)))))</f>
        <v>0</v>
      </c>
      <c r="V73">
        <f>IF(OR(A73="",H73="",I73=""),0,MAX(0,MIN(1,(StatusDate-H73+1)/(I73-H73+1))))</f>
        <v>0</v>
      </c>
      <c r="W73">
        <f>IF(OR(A73="",I73="",G73="Completed"),"",I73-StatusDate)</f>
        <v>11</v>
      </c>
      <c r="X73" t="str">
        <f>IF(A73="","",IF(AND(G73&lt;&gt;"Completed",I73&lt;&gt;"",I73&lt;StatusDate),"OVERDUE",""))</f>
        <v/>
      </c>
      <c r="Y73" t="str">
        <f>IF(OR(A73="",K73=""),"",IF(SUMPRODUCT(($A$6:$A$400&lt;&gt;"")*ISNUMBER(SEARCH($A$6:$A$400,K73))*($G$6:$G$400&lt;&gt;"Completed"))=0,"✓ Ready","⏳ "&amp;SUMPRODUCT(($A$6:$A$400&lt;&gt;"")*ISNUMBER(SEARCH($A$6:$A$400,K73))*($G$6:$G$400&lt;&gt;"Completed"))&amp;" open"))</f>
        <v>⏳ 2 open</v>
      </c>
      <c r="Z73" t="str">
        <f>IF(A73="","",B73&amp;"|"&amp;COUNTIFS($B$6:B73,B73,$A$6:A73,"?*"))</f>
        <v>Phase 4|11</v>
      </c>
      <c r="AA73">
        <f>IF(OR(A73="",I73="",G73="Completed"),"",IF(I73&gt;=StatusDate,I73+ROW()/100000,""))</f>
        <v>46317.00073</v>
      </c>
      <c r="AB73" t="str">
        <f>IF(A73="","",IF(AND(G73&lt;&gt;"Completed",OR(G73="Blocked",AND(TRIM(P73)&lt;&gt;"",P73&lt;&gt;"None"))),ROW(),""))</f>
        <v/>
      </c>
      <c r="AC73" t="str">
        <f>IF(A73="","",IF(G73="Completed","Done",IF(G73="Blocked","Blocked",IF(X73="OVERDUE","Overdue",IF(AND(W73&lt;&gt;"",W73&lt;=2),"Due soon",IF(AND(Y73&lt;&gt;"",LEFT(Y73,1)="⏳",G73&lt;&gt;"Not Started"),"Dependency open",IF(AND(S73&lt;&gt;"None",S73&lt;&gt;"",G73&lt;&gt;"Completed"),"External req.","On track")))))))</f>
        <v>External req.</v>
      </c>
    </row>
    <row r="74">
      <c r="A74" t="str">
        <v>P4-12</v>
      </c>
      <c r="B74" t="str">
        <v>Phase 4</v>
      </c>
      <c r="C74" t="str">
        <v>Phase QA</v>
      </c>
      <c r="D74" t="str">
        <v>Verify all 48 issues</v>
      </c>
      <c r="E74" t="str">
        <v>Checklist pass: 48/48 issues present, cover, PDF opens, metadata correct, filters accurate.</v>
      </c>
      <c r="F74" t="str">
        <v>P0</v>
      </c>
      <c r="G74" t="str">
        <v>Not Started</v>
      </c>
      <c r="H74">
        <v>46317</v>
      </c>
      <c r="I74">
        <v>46317</v>
      </c>
      <c r="J74">
        <v>0</v>
      </c>
      <c r="K74" t="str">
        <v>P4-04, P4-07, P4-09</v>
      </c>
      <c r="L74" t="str">
        <v>Staging (Hostinger)</v>
      </c>
      <c r="M74" t="str">
        <v>issues-manifest.csv</v>
      </c>
      <c r="N74" t="str">
        <v>Tick all 48 against manifest</v>
      </c>
      <c r="O74" t="str">
        <v>48/48 issues verified</v>
      </c>
      <c r="S74" t="str">
        <v>None</v>
      </c>
      <c r="T74" t="str">
        <v>Not Tested</v>
      </c>
      <c r="U74">
        <f>IF(A74="",0,IF(G74="Completed",1,IF(G74="Not Started",0,MIN(0.99,N(J74)))))</f>
        <v>0</v>
      </c>
      <c r="V74">
        <f>IF(OR(A74="",H74="",I74=""),0,MAX(0,MIN(1,(StatusDate-H74+1)/(I74-H74+1))))</f>
        <v>0</v>
      </c>
      <c r="W74">
        <f>IF(OR(A74="",I74="",G74="Completed"),"",I74-StatusDate)</f>
        <v>11</v>
      </c>
      <c r="X74" t="str">
        <f>IF(A74="","",IF(AND(G74&lt;&gt;"Completed",I74&lt;&gt;"",I74&lt;StatusDate),"OVERDUE",""))</f>
        <v/>
      </c>
      <c r="Y74" t="str">
        <f>IF(OR(A74="",K74=""),"",IF(SUMPRODUCT(($A$6:$A$400&lt;&gt;"")*ISNUMBER(SEARCH($A$6:$A$400,K74))*($G$6:$G$400&lt;&gt;"Completed"))=0,"✓ Ready","⏳ "&amp;SUMPRODUCT(($A$6:$A$400&lt;&gt;"")*ISNUMBER(SEARCH($A$6:$A$400,K74))*($G$6:$G$400&lt;&gt;"Completed"))&amp;" open"))</f>
        <v>⏳ 3 open</v>
      </c>
      <c r="Z74" t="str">
        <f>IF(A74="","",B74&amp;"|"&amp;COUNTIFS($B$6:B74,B74,$A$6:A74,"?*"))</f>
        <v>Phase 4|12</v>
      </c>
      <c r="AA74">
        <f>IF(OR(A74="",I74="",G74="Completed"),"",IF(I74&gt;=StatusDate,I74+ROW()/100000,""))</f>
        <v>46317.00074</v>
      </c>
      <c r="AB74" t="str">
        <f>IF(A74="","",IF(AND(G74&lt;&gt;"Completed",OR(G74="Blocked",AND(TRIM(P74)&lt;&gt;"",P74&lt;&gt;"None"))),ROW(),""))</f>
        <v/>
      </c>
      <c r="AC74" t="str">
        <f>IF(A74="","",IF(G74="Completed","Done",IF(G74="Blocked","Blocked",IF(X74="OVERDUE","Overdue",IF(AND(W74&lt;&gt;"",W74&lt;=2),"Due soon",IF(AND(Y74&lt;&gt;"",LEFT(Y74,1)="⏳",G74&lt;&gt;"Not Started"),"Dependency open",IF(AND(S74&lt;&gt;"None",S74&lt;&gt;"",G74&lt;&gt;"Completed"),"External req.","On track")))))))</f>
        <v>On track</v>
      </c>
    </row>
    <row r="75">
      <c r="A75" t="str">
        <v>P5-01</v>
      </c>
      <c r="B75" t="str">
        <v>Phase 5</v>
      </c>
      <c r="C75" t="str">
        <v>Credentials</v>
      </c>
      <c r="D75" t="str">
        <v>Request Google OAuth credentials</v>
      </c>
      <c r="E75" t="str">
        <v>Google Cloud project, OAuth consent screen, client ID/secret, authorised redirect URIs for staging and production.</v>
      </c>
      <c r="F75" t="str">
        <v>P1</v>
      </c>
      <c r="G75" t="str">
        <v>Not Started</v>
      </c>
      <c r="H75">
        <v>46307</v>
      </c>
      <c r="I75">
        <v>46315</v>
      </c>
      <c r="J75">
        <v>0</v>
      </c>
      <c r="L75" t="str">
        <v>External / Third-party</v>
      </c>
      <c r="M75" t="str">
        <v>—</v>
      </c>
      <c r="N75" t="str">
        <v>Credentials received and stored securely (not in Git)</v>
      </c>
      <c r="O75" t="str">
        <v>Valid client ID/secret for both domains</v>
      </c>
      <c r="S75" t="str">
        <v>Credentials</v>
      </c>
      <c r="T75" t="str">
        <v>Not Tested</v>
      </c>
      <c r="U75">
        <f>IF(A75="",0,IF(G75="Completed",1,IF(G75="Not Started",0,MIN(0.99,N(J75)))))</f>
        <v>0</v>
      </c>
      <c r="V75">
        <f>IF(OR(A75="",H75="",I75=""),0,MAX(0,MIN(1,(StatusDate-H75+1)/(I75-H75+1))))</f>
        <v>0</v>
      </c>
      <c r="W75">
        <f>IF(OR(A75="",I75="",G75="Completed"),"",I75-StatusDate)</f>
        <v>9</v>
      </c>
      <c r="X75" t="str">
        <f>IF(A75="","",IF(AND(G75&lt;&gt;"Completed",I75&lt;&gt;"",I75&lt;StatusDate),"OVERDUE",""))</f>
        <v/>
      </c>
      <c r="Y75" t="str">
        <f>IF(OR(A75="",K75=""),"",IF(SUMPRODUCT(($A$6:$A$400&lt;&gt;"")*ISNUMBER(SEARCH($A$6:$A$400,K75))*($G$6:$G$400&lt;&gt;"Completed"))=0,"✓ Ready","⏳ "&amp;SUMPRODUCT(($A$6:$A$400&lt;&gt;"")*ISNUMBER(SEARCH($A$6:$A$400,K75))*($G$6:$G$400&lt;&gt;"Completed"))&amp;" open"))</f>
        <v/>
      </c>
      <c r="Z75" t="str">
        <f>IF(A75="","",B75&amp;"|"&amp;COUNTIFS($B$6:B75,B75,$A$6:A75,"?*"))</f>
        <v>Phase 5|1</v>
      </c>
      <c r="AA75">
        <f>IF(OR(A75="",I75="",G75="Completed"),"",IF(I75&gt;=StatusDate,I75+ROW()/100000,""))</f>
        <v>46315.00075</v>
      </c>
      <c r="AB75" t="str">
        <f>IF(A75="","",IF(AND(G75&lt;&gt;"Completed",OR(G75="Blocked",AND(TRIM(P75)&lt;&gt;"",P75&lt;&gt;"None"))),ROW(),""))</f>
        <v/>
      </c>
      <c r="AC75" t="str">
        <f>IF(A75="","",IF(G75="Completed","Done",IF(G75="Blocked","Blocked",IF(X75="OVERDUE","Overdue",IF(AND(W75&lt;&gt;"",W75&lt;=2),"Due soon",IF(AND(Y75&lt;&gt;"",LEFT(Y75,1)="⏳",G75&lt;&gt;"Not Started"),"Dependency open",IF(AND(S75&lt;&gt;"None",S75&lt;&gt;"",G75&lt;&gt;"Completed"),"External req.","On track")))))))</f>
        <v>External req.</v>
      </c>
    </row>
    <row r="76">
      <c r="A76" t="str">
        <v>P5-02</v>
      </c>
      <c r="B76" t="str">
        <v>Phase 5</v>
      </c>
      <c r="C76" t="str">
        <v>Credentials</v>
      </c>
      <c r="D76" t="str">
        <v>Request Sign in with Apple credentials</v>
      </c>
      <c r="E76" t="str">
        <v>Apple Developer Program membership (client), Services ID, key, team ID, domain verification for both domains.</v>
      </c>
      <c r="F76" t="str">
        <v>P1</v>
      </c>
      <c r="G76" t="str">
        <v>Not Started</v>
      </c>
      <c r="H76">
        <v>46307</v>
      </c>
      <c r="I76">
        <v>46315</v>
      </c>
      <c r="J76">
        <v>0</v>
      </c>
      <c r="L76" t="str">
        <v>External / Third-party</v>
      </c>
      <c r="M76" t="str">
        <v>—</v>
      </c>
      <c r="N76" t="str">
        <v>Credentials received; domain verification file placed</v>
      </c>
      <c r="O76" t="str">
        <v>Valid Apple credentials for both domains</v>
      </c>
      <c r="S76" t="str">
        <v>Credentials</v>
      </c>
      <c r="T76" t="str">
        <v>Not Tested</v>
      </c>
      <c r="U76">
        <f>IF(A76="",0,IF(G76="Completed",1,IF(G76="Not Started",0,MIN(0.99,N(J76)))))</f>
        <v>0</v>
      </c>
      <c r="V76">
        <f>IF(OR(A76="",H76="",I76=""),0,MAX(0,MIN(1,(StatusDate-H76+1)/(I76-H76+1))))</f>
        <v>0</v>
      </c>
      <c r="W76">
        <f>IF(OR(A76="",I76="",G76="Completed"),"",I76-StatusDate)</f>
        <v>9</v>
      </c>
      <c r="X76" t="str">
        <f>IF(A76="","",IF(AND(G76&lt;&gt;"Completed",I76&lt;&gt;"",I76&lt;StatusDate),"OVERDUE",""))</f>
        <v/>
      </c>
      <c r="Y76" t="str">
        <f>IF(OR(A76="",K76=""),"",IF(SUMPRODUCT(($A$6:$A$400&lt;&gt;"")*ISNUMBER(SEARCH($A$6:$A$400,K76))*($G$6:$G$400&lt;&gt;"Completed"))=0,"✓ Ready","⏳ "&amp;SUMPRODUCT(($A$6:$A$400&lt;&gt;"")*ISNUMBER(SEARCH($A$6:$A$400,K76))*($G$6:$G$400&lt;&gt;"Completed"))&amp;" open"))</f>
        <v/>
      </c>
      <c r="Z76" t="str">
        <f>IF(A76="","",B76&amp;"|"&amp;COUNTIFS($B$6:B76,B76,$A$6:A76,"?*"))</f>
        <v>Phase 5|2</v>
      </c>
      <c r="AA76">
        <f>IF(OR(A76="",I76="",G76="Completed"),"",IF(I76&gt;=StatusDate,I76+ROW()/100000,""))</f>
        <v>46315.00076</v>
      </c>
      <c r="AB76" t="str">
        <f>IF(A76="","",IF(AND(G76&lt;&gt;"Completed",OR(G76="Blocked",AND(TRIM(P76)&lt;&gt;"",P76&lt;&gt;"None"))),ROW(),""))</f>
        <v/>
      </c>
      <c r="AC76" t="str">
        <f>IF(A76="","",IF(G76="Completed","Done",IF(G76="Blocked","Blocked",IF(X76="OVERDUE","Overdue",IF(AND(W76&lt;&gt;"",W76&lt;=2),"Due soon",IF(AND(Y76&lt;&gt;"",LEFT(Y76,1)="⏳",G76&lt;&gt;"Not Started"),"Dependency open",IF(AND(S76&lt;&gt;"None",S76&lt;&gt;"",G76&lt;&gt;"Completed"),"External req.","On track")))))))</f>
        <v>External req.</v>
      </c>
    </row>
    <row r="77">
      <c r="A77" t="str">
        <v>P5-03</v>
      </c>
      <c r="B77" t="str">
        <v>Phase 5</v>
      </c>
      <c r="C77" t="str">
        <v>Payments</v>
      </c>
      <c r="D77" t="str">
        <v>Confirm payment provider &amp; obtain API keys</v>
      </c>
      <c r="E77" t="str">
        <v>Client confirms gateway; obtain sandbox + live API keys, webhook signing secret, merchant approval and supported currencies.</v>
      </c>
      <c r="F77" t="str">
        <v>P0</v>
      </c>
      <c r="G77" t="str">
        <v>Not Started</v>
      </c>
      <c r="H77">
        <v>46307</v>
      </c>
      <c r="I77">
        <v>46317</v>
      </c>
      <c r="J77">
        <v>0</v>
      </c>
      <c r="L77" t="str">
        <v>External / Third-party</v>
      </c>
      <c r="M77" t="str">
        <v>—</v>
      </c>
      <c r="N77" t="str">
        <v>Sandbox transaction possible; live approval date known</v>
      </c>
      <c r="O77" t="str">
        <v>Sandbox keys in hand; live approval confirmed before cutover</v>
      </c>
      <c r="S77" t="str">
        <v>Payment Approval</v>
      </c>
      <c r="T77" t="str">
        <v>Not Tested</v>
      </c>
      <c r="U77">
        <f>IF(A77="",0,IF(G77="Completed",1,IF(G77="Not Started",0,MIN(0.99,N(J77)))))</f>
        <v>0</v>
      </c>
      <c r="V77">
        <f>IF(OR(A77="",H77="",I77=""),0,MAX(0,MIN(1,(StatusDate-H77+1)/(I77-H77+1))))</f>
        <v>0</v>
      </c>
      <c r="W77">
        <f>IF(OR(A77="",I77="",G77="Completed"),"",I77-StatusDate)</f>
        <v>11</v>
      </c>
      <c r="X77" t="str">
        <f>IF(A77="","",IF(AND(G77&lt;&gt;"Completed",I77&lt;&gt;"",I77&lt;StatusDate),"OVERDUE",""))</f>
        <v/>
      </c>
      <c r="Y77" t="str">
        <f>IF(OR(A77="",K77=""),"",IF(SUMPRODUCT(($A$6:$A$400&lt;&gt;"")*ISNUMBER(SEARCH($A$6:$A$400,K77))*($G$6:$G$400&lt;&gt;"Completed"))=0,"✓ Ready","⏳ "&amp;SUMPRODUCT(($A$6:$A$400&lt;&gt;"")*ISNUMBER(SEARCH($A$6:$A$400,K77))*($G$6:$G$400&lt;&gt;"Completed"))&amp;" open"))</f>
        <v/>
      </c>
      <c r="Z77" t="str">
        <f>IF(A77="","",B77&amp;"|"&amp;COUNTIFS($B$6:B77,B77,$A$6:A77,"?*"))</f>
        <v>Phase 5|3</v>
      </c>
      <c r="AA77">
        <f>IF(OR(A77="",I77="",G77="Completed"),"",IF(I77&gt;=StatusDate,I77+ROW()/100000,""))</f>
        <v>46317.00077</v>
      </c>
      <c r="AB77" t="str">
        <f>IF(A77="","",IF(AND(G77&lt;&gt;"Completed",OR(G77="Blocked",AND(TRIM(P77)&lt;&gt;"",P77&lt;&gt;"None"))),ROW(),""))</f>
        <v/>
      </c>
      <c r="AC77" t="str">
        <f>IF(A77="","",IF(G77="Completed","Done",IF(G77="Blocked","Blocked",IF(X77="OVERDUE","Overdue",IF(AND(W77&lt;&gt;"",W77&lt;=2),"Due soon",IF(AND(Y77&lt;&gt;"",LEFT(Y77,1)="⏳",G77&lt;&gt;"Not Started"),"Dependency open",IF(AND(S77&lt;&gt;"None",S77&lt;&gt;"",G77&lt;&gt;"Completed"),"External req.","On track")))))))</f>
        <v>External req.</v>
      </c>
    </row>
    <row r="78">
      <c r="A78" t="str">
        <v>P5-04</v>
      </c>
      <c r="B78" t="str">
        <v>Phase 5</v>
      </c>
      <c r="C78" t="str">
        <v>Authentication</v>
      </c>
      <c r="D78" t="str">
        <v>Login, registration &amp; password reset</v>
      </c>
      <c r="E78" t="str">
        <v>Custom templates using wp_signon/wp_insert_user; email verification; password reset flow; redirects; Arabic validation messages; wp-login.php styled fallback.</v>
      </c>
      <c r="F78" t="str">
        <v>P0</v>
      </c>
      <c r="G78" t="str">
        <v>Not Started</v>
      </c>
      <c r="H78">
        <v>46318</v>
      </c>
      <c r="I78">
        <v>46318</v>
      </c>
      <c r="J78">
        <v>0</v>
      </c>
      <c r="K78" t="str">
        <v>P1-17</v>
      </c>
      <c r="L78" t="str">
        <v>Staging (Hostinger)</v>
      </c>
      <c r="M78" t="str">
        <v>page-templates/page-login.php, page-register.php, page-reset.php, inc/auth/*.php</v>
      </c>
      <c r="N78" t="str">
        <v>Register, verify, log in, reset password, log out</v>
      </c>
      <c r="O78" t="str">
        <v>Complete account lifecycle works with clear Arabic messages</v>
      </c>
      <c r="S78" t="str">
        <v>None</v>
      </c>
      <c r="T78" t="str">
        <v>Not Tested</v>
      </c>
      <c r="U78">
        <f>IF(A78="",0,IF(G78="Completed",1,IF(G78="Not Started",0,MIN(0.99,N(J78)))))</f>
        <v>0</v>
      </c>
      <c r="V78">
        <f>IF(OR(A78="",H78="",I78=""),0,MAX(0,MIN(1,(StatusDate-H78+1)/(I78-H78+1))))</f>
        <v>0</v>
      </c>
      <c r="W78">
        <f>IF(OR(A78="",I78="",G78="Completed"),"",I78-StatusDate)</f>
        <v>12</v>
      </c>
      <c r="X78" t="str">
        <f>IF(A78="","",IF(AND(G78&lt;&gt;"Completed",I78&lt;&gt;"",I78&lt;StatusDate),"OVERDUE",""))</f>
        <v/>
      </c>
      <c r="Y78" t="str">
        <f>IF(OR(A78="",K78=""),"",IF(SUMPRODUCT(($A$6:$A$400&lt;&gt;"")*ISNUMBER(SEARCH($A$6:$A$400,K78))*($G$6:$G$400&lt;&gt;"Completed"))=0,"✓ Ready","⏳ "&amp;SUMPRODUCT(($A$6:$A$400&lt;&gt;"")*ISNUMBER(SEARCH($A$6:$A$400,K78))*($G$6:$G$400&lt;&gt;"Completed"))&amp;" open"))</f>
        <v>⏳ 1 open</v>
      </c>
      <c r="Z78" t="str">
        <f>IF(A78="","",B78&amp;"|"&amp;COUNTIFS($B$6:B78,B78,$A$6:A78,"?*"))</f>
        <v>Phase 5|4</v>
      </c>
      <c r="AA78">
        <f>IF(OR(A78="",I78="",G78="Completed"),"",IF(I78&gt;=StatusDate,I78+ROW()/100000,""))</f>
        <v>46318.00078</v>
      </c>
      <c r="AB78" t="str">
        <f>IF(A78="","",IF(AND(G78&lt;&gt;"Completed",OR(G78="Blocked",AND(TRIM(P78)&lt;&gt;"",P78&lt;&gt;"None"))),ROW(),""))</f>
        <v/>
      </c>
      <c r="AC78" t="str">
        <f>IF(A78="","",IF(G78="Completed","Done",IF(G78="Blocked","Blocked",IF(X78="OVERDUE","Overdue",IF(AND(W78&lt;&gt;"",W78&lt;=2),"Due soon",IF(AND(Y78&lt;&gt;"",LEFT(Y78,1)="⏳",G78&lt;&gt;"Not Started"),"Dependency open",IF(AND(S78&lt;&gt;"None",S78&lt;&gt;"",G78&lt;&gt;"Completed"),"External req.","On track")))))))</f>
        <v>On track</v>
      </c>
    </row>
    <row r="79">
      <c r="A79" t="str">
        <v>P5-05</v>
      </c>
      <c r="B79" t="str">
        <v>Phase 5</v>
      </c>
      <c r="C79" t="str">
        <v>Authentication</v>
      </c>
      <c r="D79" t="str">
        <v>Google sign-in</v>
      </c>
      <c r="E79" t="str">
        <v>OAuth 2.0 flow (state param, token verification), link to existing account by verified email.</v>
      </c>
      <c r="F79" t="str">
        <v>P1</v>
      </c>
      <c r="G79" t="str">
        <v>Not Started</v>
      </c>
      <c r="H79">
        <v>46318</v>
      </c>
      <c r="I79">
        <v>46318</v>
      </c>
      <c r="J79">
        <v>0</v>
      </c>
      <c r="K79" t="str">
        <v>P5-01, P5-04</v>
      </c>
      <c r="L79" t="str">
        <v>Staging (Hostinger)</v>
      </c>
      <c r="M79" t="str">
        <v>inc/auth/social-google.php</v>
      </c>
      <c r="N79" t="str">
        <v>New and existing user sign-in; cancel flow</v>
      </c>
      <c r="O79" t="str">
        <v>Google sign-in works on staging and is ready for production URIs</v>
      </c>
      <c r="S79" t="str">
        <v>Credentials</v>
      </c>
      <c r="T79" t="str">
        <v>Not Tested</v>
      </c>
      <c r="U79">
        <f>IF(A79="",0,IF(G79="Completed",1,IF(G79="Not Started",0,MIN(0.99,N(J79)))))</f>
        <v>0</v>
      </c>
      <c r="V79">
        <f>IF(OR(A79="",H79="",I79=""),0,MAX(0,MIN(1,(StatusDate-H79+1)/(I79-H79+1))))</f>
        <v>0</v>
      </c>
      <c r="W79">
        <f>IF(OR(A79="",I79="",G79="Completed"),"",I79-StatusDate)</f>
        <v>12</v>
      </c>
      <c r="X79" t="str">
        <f>IF(A79="","",IF(AND(G79&lt;&gt;"Completed",I79&lt;&gt;"",I79&lt;StatusDate),"OVERDUE",""))</f>
        <v/>
      </c>
      <c r="Y79" t="str">
        <f>IF(OR(A79="",K79=""),"",IF(SUMPRODUCT(($A$6:$A$400&lt;&gt;"")*ISNUMBER(SEARCH($A$6:$A$400,K79))*($G$6:$G$400&lt;&gt;"Completed"))=0,"✓ Ready","⏳ "&amp;SUMPRODUCT(($A$6:$A$400&lt;&gt;"")*ISNUMBER(SEARCH($A$6:$A$400,K79))*($G$6:$G$400&lt;&gt;"Completed"))&amp;" open"))</f>
        <v>⏳ 2 open</v>
      </c>
      <c r="Z79" t="str">
        <f>IF(A79="","",B79&amp;"|"&amp;COUNTIFS($B$6:B79,B79,$A$6:A79,"?*"))</f>
        <v>Phase 5|5</v>
      </c>
      <c r="AA79">
        <f>IF(OR(A79="",I79="",G79="Completed"),"",IF(I79&gt;=StatusDate,I79+ROW()/100000,""))</f>
        <v>46318.00079</v>
      </c>
      <c r="AB79" t="str">
        <f>IF(A79="","",IF(AND(G79&lt;&gt;"Completed",OR(G79="Blocked",AND(TRIM(P79)&lt;&gt;"",P79&lt;&gt;"None"))),ROW(),""))</f>
        <v/>
      </c>
      <c r="AC79" t="str">
        <f>IF(A79="","",IF(G79="Completed","Done",IF(G79="Blocked","Blocked",IF(X79="OVERDUE","Overdue",IF(AND(W79&lt;&gt;"",W79&lt;=2),"Due soon",IF(AND(Y79&lt;&gt;"",LEFT(Y79,1)="⏳",G79&lt;&gt;"Not Started"),"Dependency open",IF(AND(S79&lt;&gt;"None",S79&lt;&gt;"",G79&lt;&gt;"Completed"),"External req.","On track")))))))</f>
        <v>External req.</v>
      </c>
    </row>
    <row r="80">
      <c r="A80" t="str">
        <v>P5-06</v>
      </c>
      <c r="B80" t="str">
        <v>Phase 5</v>
      </c>
      <c r="C80" t="str">
        <v>Authentication</v>
      </c>
      <c r="D80" t="str">
        <v>Sign in with Apple</v>
      </c>
      <c r="E80" t="str">
        <v>Apple JS/redirect flow, JWT verification, private-relay email handling, account linking.</v>
      </c>
      <c r="F80" t="str">
        <v>P2</v>
      </c>
      <c r="G80" t="str">
        <v>Not Started</v>
      </c>
      <c r="H80">
        <v>46318</v>
      </c>
      <c r="I80">
        <v>46318</v>
      </c>
      <c r="J80">
        <v>0</v>
      </c>
      <c r="K80" t="str">
        <v>P5-02, P5-04</v>
      </c>
      <c r="L80" t="str">
        <v>Staging (Hostinger)</v>
      </c>
      <c r="M80" t="str">
        <v>inc/auth/social-apple.php</v>
      </c>
      <c r="N80" t="str">
        <v>Sign in on Safari iOS &amp; desktop; hide-my-email case</v>
      </c>
      <c r="O80" t="str">
        <v>Apple sign-in works including private relay emails</v>
      </c>
      <c r="S80" t="str">
        <v>Credentials</v>
      </c>
      <c r="T80" t="str">
        <v>Not Tested</v>
      </c>
      <c r="U80">
        <f>IF(A80="",0,IF(G80="Completed",1,IF(G80="Not Started",0,MIN(0.99,N(J80)))))</f>
        <v>0</v>
      </c>
      <c r="V80">
        <f>IF(OR(A80="",H80="",I80=""),0,MAX(0,MIN(1,(StatusDate-H80+1)/(I80-H80+1))))</f>
        <v>0</v>
      </c>
      <c r="W80">
        <f>IF(OR(A80="",I80="",G80="Completed"),"",I80-StatusDate)</f>
        <v>12</v>
      </c>
      <c r="X80" t="str">
        <f>IF(A80="","",IF(AND(G80&lt;&gt;"Completed",I80&lt;&gt;"",I80&lt;StatusDate),"OVERDUE",""))</f>
        <v/>
      </c>
      <c r="Y80" t="str">
        <f>IF(OR(A80="",K80=""),"",IF(SUMPRODUCT(($A$6:$A$400&lt;&gt;"")*ISNUMBER(SEARCH($A$6:$A$400,K80))*($G$6:$G$400&lt;&gt;"Completed"))=0,"✓ Ready","⏳ "&amp;SUMPRODUCT(($A$6:$A$400&lt;&gt;"")*ISNUMBER(SEARCH($A$6:$A$400,K80))*($G$6:$G$400&lt;&gt;"Completed"))&amp;" open"))</f>
        <v>⏳ 2 open</v>
      </c>
      <c r="Z80" t="str">
        <f>IF(A80="","",B80&amp;"|"&amp;COUNTIFS($B$6:B80,B80,$A$6:A80,"?*"))</f>
        <v>Phase 5|6</v>
      </c>
      <c r="AA80">
        <f>IF(OR(A80="",I80="",G80="Completed"),"",IF(I80&gt;=StatusDate,I80+ROW()/100000,""))</f>
        <v>46318.0008</v>
      </c>
      <c r="AB80" t="str">
        <f>IF(A80="","",IF(AND(G80&lt;&gt;"Completed",OR(G80="Blocked",AND(TRIM(P80)&lt;&gt;"",P80&lt;&gt;"None"))),ROW(),""))</f>
        <v/>
      </c>
      <c r="AC80" t="str">
        <f>IF(A80="","",IF(G80="Completed","Done",IF(G80="Blocked","Blocked",IF(X80="OVERDUE","Overdue",IF(AND(W80&lt;&gt;"",W80&lt;=2),"Due soon",IF(AND(Y80&lt;&gt;"",LEFT(Y80,1)="⏳",G80&lt;&gt;"Not Started"),"Dependency open",IF(AND(S80&lt;&gt;"None",S80&lt;&gt;"",G80&lt;&gt;"Completed"),"External req.","On track")))))))</f>
        <v>External req.</v>
      </c>
    </row>
    <row r="81">
      <c r="A81" t="str">
        <v>P5-07</v>
      </c>
      <c r="B81" t="str">
        <v>Phase 5</v>
      </c>
      <c r="C81" t="str">
        <v>Subscriptions</v>
      </c>
      <c r="D81" t="str">
        <v>Subscription tiers model</v>
      </c>
      <c r="E81" t="str">
        <v>Tiers (e.g. Free, Digital, Premium) via roles/capabilities + user meta (plan, start, expiry); tier config editable in admin; pricing page.</v>
      </c>
      <c r="F81" t="str">
        <v>P0</v>
      </c>
      <c r="G81" t="str">
        <v>Not Started</v>
      </c>
      <c r="H81">
        <v>46318</v>
      </c>
      <c r="I81">
        <v>46318</v>
      </c>
      <c r="J81">
        <v>0</v>
      </c>
      <c r="K81" t="str">
        <v>P5-04</v>
      </c>
      <c r="L81" t="str">
        <v>Staging (Hostinger)</v>
      </c>
      <c r="M81" t="str">
        <v>inc/subscriptions/tiers.php, page-templates/page-subscribe.php</v>
      </c>
      <c r="N81" t="str">
        <v>Assign each tier manually; check entitlements</v>
      </c>
      <c r="O81" t="str">
        <v>Tiers control access across issues and content</v>
      </c>
      <c r="S81" t="str">
        <v>None</v>
      </c>
      <c r="T81" t="str">
        <v>Not Tested</v>
      </c>
      <c r="U81">
        <f>IF(A81="",0,IF(G81="Completed",1,IF(G81="Not Started",0,MIN(0.99,N(J81)))))</f>
        <v>0</v>
      </c>
      <c r="V81">
        <f>IF(OR(A81="",H81="",I81=""),0,MAX(0,MIN(1,(StatusDate-H81+1)/(I81-H81+1))))</f>
        <v>0</v>
      </c>
      <c r="W81">
        <f>IF(OR(A81="",I81="",G81="Completed"),"",I81-StatusDate)</f>
        <v>12</v>
      </c>
      <c r="X81" t="str">
        <f>IF(A81="","",IF(AND(G81&lt;&gt;"Completed",I81&lt;&gt;"",I81&lt;StatusDate),"OVERDUE",""))</f>
        <v/>
      </c>
      <c r="Y81" t="str">
        <f>IF(OR(A81="",K81=""),"",IF(SUMPRODUCT(($A$6:$A$400&lt;&gt;"")*ISNUMBER(SEARCH($A$6:$A$400,K81))*($G$6:$G$400&lt;&gt;"Completed"))=0,"✓ Ready","⏳ "&amp;SUMPRODUCT(($A$6:$A$400&lt;&gt;"")*ISNUMBER(SEARCH($A$6:$A$400,K81))*($G$6:$G$400&lt;&gt;"Completed"))&amp;" open"))</f>
        <v>⏳ 1 open</v>
      </c>
      <c r="Z81" t="str">
        <f>IF(A81="","",B81&amp;"|"&amp;COUNTIFS($B$6:B81,B81,$A$6:A81,"?*"))</f>
        <v>Phase 5|7</v>
      </c>
      <c r="AA81">
        <f>IF(OR(A81="",I81="",G81="Completed"),"",IF(I81&gt;=StatusDate,I81+ROW()/100000,""))</f>
        <v>46318.00081</v>
      </c>
      <c r="AB81" t="str">
        <f>IF(A81="","",IF(AND(G81&lt;&gt;"Completed",OR(G81="Blocked",AND(TRIM(P81)&lt;&gt;"",P81&lt;&gt;"None"))),ROW(),""))</f>
        <v/>
      </c>
      <c r="AC81" t="str">
        <f>IF(A81="","",IF(G81="Completed","Done",IF(G81="Blocked","Blocked",IF(X81="OVERDUE","Overdue",IF(AND(W81&lt;&gt;"",W81&lt;=2),"Due soon",IF(AND(Y81&lt;&gt;"",LEFT(Y81,1)="⏳",G81&lt;&gt;"Not Started"),"Dependency open",IF(AND(S81&lt;&gt;"None",S81&lt;&gt;"",G81&lt;&gt;"Completed"),"External req.","On track")))))))</f>
        <v>On track</v>
      </c>
    </row>
    <row r="82">
      <c r="A82" t="str">
        <v>P5-08</v>
      </c>
      <c r="B82" t="str">
        <v>Phase 5</v>
      </c>
      <c r="C82" t="str">
        <v>Payments</v>
      </c>
      <c r="D82" t="str">
        <v>Payment gateway checkout integration</v>
      </c>
      <c r="E82" t="str">
        <v>Hosted checkout (sandbox first), order record, success/failure pages, currency handling; no card data touches the server.</v>
      </c>
      <c r="F82" t="str">
        <v>P0</v>
      </c>
      <c r="G82" t="str">
        <v>Not Started</v>
      </c>
      <c r="H82">
        <v>46318</v>
      </c>
      <c r="I82">
        <v>46319</v>
      </c>
      <c r="J82">
        <v>0</v>
      </c>
      <c r="K82" t="str">
        <v>P5-03, P5-07</v>
      </c>
      <c r="L82" t="str">
        <v>Staging (Hostinger)</v>
      </c>
      <c r="M82" t="str">
        <v>inc/payments/gateway.php</v>
      </c>
      <c r="N82" t="str">
        <v>Sandbox: success, decline, cancel</v>
      </c>
      <c r="O82" t="str">
        <v>Paid checkout activates correct tier in sandbox</v>
      </c>
      <c r="S82" t="str">
        <v>Payment Approval</v>
      </c>
      <c r="T82" t="str">
        <v>Not Tested</v>
      </c>
      <c r="U82">
        <f>IF(A82="",0,IF(G82="Completed",1,IF(G82="Not Started",0,MIN(0.99,N(J82)))))</f>
        <v>0</v>
      </c>
      <c r="V82">
        <f>IF(OR(A82="",H82="",I82=""),0,MAX(0,MIN(1,(StatusDate-H82+1)/(I82-H82+1))))</f>
        <v>0</v>
      </c>
      <c r="W82">
        <f>IF(OR(A82="",I82="",G82="Completed"),"",I82-StatusDate)</f>
        <v>13</v>
      </c>
      <c r="X82" t="str">
        <f>IF(A82="","",IF(AND(G82&lt;&gt;"Completed",I82&lt;&gt;"",I82&lt;StatusDate),"OVERDUE",""))</f>
        <v/>
      </c>
      <c r="Y82" t="str">
        <f>IF(OR(A82="",K82=""),"",IF(SUMPRODUCT(($A$6:$A$400&lt;&gt;"")*ISNUMBER(SEARCH($A$6:$A$400,K82))*($G$6:$G$400&lt;&gt;"Completed"))=0,"✓ Ready","⏳ "&amp;SUMPRODUCT(($A$6:$A$400&lt;&gt;"")*ISNUMBER(SEARCH($A$6:$A$400,K82))*($G$6:$G$400&lt;&gt;"Completed"))&amp;" open"))</f>
        <v>⏳ 2 open</v>
      </c>
      <c r="Z82" t="str">
        <f>IF(A82="","",B82&amp;"|"&amp;COUNTIFS($B$6:B82,B82,$A$6:A82,"?*"))</f>
        <v>Phase 5|8</v>
      </c>
      <c r="AA82">
        <f>IF(OR(A82="",I82="",G82="Completed"),"",IF(I82&gt;=StatusDate,I82+ROW()/100000,""))</f>
        <v>46319.00082</v>
      </c>
      <c r="AB82" t="str">
        <f>IF(A82="","",IF(AND(G82&lt;&gt;"Completed",OR(G82="Blocked",AND(TRIM(P82)&lt;&gt;"",P82&lt;&gt;"None"))),ROW(),""))</f>
        <v/>
      </c>
      <c r="AC82" t="str">
        <f>IF(A82="","",IF(G82="Completed","Done",IF(G82="Blocked","Blocked",IF(X82="OVERDUE","Overdue",IF(AND(W82&lt;&gt;"",W82&lt;=2),"Due soon",IF(AND(Y82&lt;&gt;"",LEFT(Y82,1)="⏳",G82&lt;&gt;"Not Started"),"Dependency open",IF(AND(S82&lt;&gt;"None",S82&lt;&gt;"",G82&lt;&gt;"Completed"),"External req.","On track")))))))</f>
        <v>External req.</v>
      </c>
    </row>
    <row r="83">
      <c r="A83" t="str">
        <v>P5-09</v>
      </c>
      <c r="B83" t="str">
        <v>Phase 5</v>
      </c>
      <c r="C83" t="str">
        <v>Payments</v>
      </c>
      <c r="D83" t="str">
        <v>Payment webhooks</v>
      </c>
      <c r="E83" t="str">
        <v>Webhook endpoint with signature verification, idempotency keys, event logging, status transitions (paid, failed, refunded, renewed).</v>
      </c>
      <c r="F83" t="str">
        <v>P0</v>
      </c>
      <c r="G83" t="str">
        <v>Not Started</v>
      </c>
      <c r="H83">
        <v>46319</v>
      </c>
      <c r="I83">
        <v>46319</v>
      </c>
      <c r="J83">
        <v>0</v>
      </c>
      <c r="K83" t="str">
        <v>P5-08</v>
      </c>
      <c r="L83" t="str">
        <v>Staging (Hostinger)</v>
      </c>
      <c r="M83" t="str">
        <v>inc/payments/webhook.php</v>
      </c>
      <c r="N83" t="str">
        <v>Replay same event twice; tampered signature rejected</v>
      </c>
      <c r="O83" t="str">
        <v>Subscription state always matches gateway; duplicates ignored</v>
      </c>
      <c r="S83" t="str">
        <v>Payment Approval</v>
      </c>
      <c r="T83" t="str">
        <v>Not Tested</v>
      </c>
      <c r="U83">
        <f>IF(A83="",0,IF(G83="Completed",1,IF(G83="Not Started",0,MIN(0.99,N(J83)))))</f>
        <v>0</v>
      </c>
      <c r="V83">
        <f>IF(OR(A83="",H83="",I83=""),0,MAX(0,MIN(1,(StatusDate-H83+1)/(I83-H83+1))))</f>
        <v>0</v>
      </c>
      <c r="W83">
        <f>IF(OR(A83="",I83="",G83="Completed"),"",I83-StatusDate)</f>
        <v>13</v>
      </c>
      <c r="X83" t="str">
        <f>IF(A83="","",IF(AND(G83&lt;&gt;"Completed",I83&lt;&gt;"",I83&lt;StatusDate),"OVERDUE",""))</f>
        <v/>
      </c>
      <c r="Y83" t="str">
        <f>IF(OR(A83="",K83=""),"",IF(SUMPRODUCT(($A$6:$A$400&lt;&gt;"")*ISNUMBER(SEARCH($A$6:$A$400,K83))*($G$6:$G$400&lt;&gt;"Completed"))=0,"✓ Ready","⏳ "&amp;SUMPRODUCT(($A$6:$A$400&lt;&gt;"")*ISNUMBER(SEARCH($A$6:$A$400,K83))*($G$6:$G$400&lt;&gt;"Completed"))&amp;" open"))</f>
        <v>⏳ 1 open</v>
      </c>
      <c r="Z83" t="str">
        <f>IF(A83="","",B83&amp;"|"&amp;COUNTIFS($B$6:B83,B83,$A$6:A83,"?*"))</f>
        <v>Phase 5|9</v>
      </c>
      <c r="AA83">
        <f>IF(OR(A83="",I83="",G83="Completed"),"",IF(I83&gt;=StatusDate,I83+ROW()/100000,""))</f>
        <v>46319.00083</v>
      </c>
      <c r="AB83" t="str">
        <f>IF(A83="","",IF(AND(G83&lt;&gt;"Completed",OR(G83="Blocked",AND(TRIM(P83)&lt;&gt;"",P83&lt;&gt;"None"))),ROW(),""))</f>
        <v/>
      </c>
      <c r="AC83" t="str">
        <f>IF(A83="","",IF(G83="Completed","Done",IF(G83="Blocked","Blocked",IF(X83="OVERDUE","Overdue",IF(AND(W83&lt;&gt;"",W83&lt;=2),"Due soon",IF(AND(Y83&lt;&gt;"",LEFT(Y83,1)="⏳",G83&lt;&gt;"Not Started"),"Dependency open",IF(AND(S83&lt;&gt;"None",S83&lt;&gt;"",G83&lt;&gt;"Completed"),"External req.","On track")))))))</f>
        <v>External req.</v>
      </c>
    </row>
    <row r="84">
      <c r="A84" t="str">
        <v>P5-10</v>
      </c>
      <c r="B84" t="str">
        <v>Phase 5</v>
      </c>
      <c r="C84" t="str">
        <v>Subscriptions</v>
      </c>
      <c r="D84" t="str">
        <v>Renewal, expiry &amp; notification emails</v>
      </c>
      <c r="E84" t="str">
        <v>Daily cron for expiry, grace period, renewal reminders and receipts.</v>
      </c>
      <c r="F84" t="str">
        <v>P1</v>
      </c>
      <c r="G84" t="str">
        <v>Not Started</v>
      </c>
      <c r="H84">
        <v>46319</v>
      </c>
      <c r="I84">
        <v>46319</v>
      </c>
      <c r="J84">
        <v>0</v>
      </c>
      <c r="K84" t="str">
        <v>P5-09, P5-13</v>
      </c>
      <c r="L84" t="str">
        <v>Staging (Hostinger)</v>
      </c>
      <c r="M84" t="str">
        <v>inc/subscriptions/cron.php</v>
      </c>
      <c r="N84" t="str">
        <v>Force-expire a test user; check emails</v>
      </c>
      <c r="O84" t="str">
        <v>Expired users lose access; reminders sent</v>
      </c>
      <c r="S84" t="str">
        <v>None</v>
      </c>
      <c r="T84" t="str">
        <v>Not Tested</v>
      </c>
      <c r="U84">
        <f>IF(A84="",0,IF(G84="Completed",1,IF(G84="Not Started",0,MIN(0.99,N(J84)))))</f>
        <v>0</v>
      </c>
      <c r="V84">
        <f>IF(OR(A84="",H84="",I84=""),0,MAX(0,MIN(1,(StatusDate-H84+1)/(I84-H84+1))))</f>
        <v>0</v>
      </c>
      <c r="W84">
        <f>IF(OR(A84="",I84="",G84="Completed"),"",I84-StatusDate)</f>
        <v>13</v>
      </c>
      <c r="X84" t="str">
        <f>IF(A84="","",IF(AND(G84&lt;&gt;"Completed",I84&lt;&gt;"",I84&lt;StatusDate),"OVERDUE",""))</f>
        <v/>
      </c>
      <c r="Y84" t="str">
        <f>IF(OR(A84="",K84=""),"",IF(SUMPRODUCT(($A$6:$A$400&lt;&gt;"")*ISNUMBER(SEARCH($A$6:$A$400,K84))*($G$6:$G$400&lt;&gt;"Completed"))=0,"✓ Ready","⏳ "&amp;SUMPRODUCT(($A$6:$A$400&lt;&gt;"")*ISNUMBER(SEARCH($A$6:$A$400,K84))*($G$6:$G$400&lt;&gt;"Completed"))&amp;" open"))</f>
        <v>⏳ 2 open</v>
      </c>
      <c r="Z84" t="str">
        <f>IF(A84="","",B84&amp;"|"&amp;COUNTIFS($B$6:B84,B84,$A$6:A84,"?*"))</f>
        <v>Phase 5|10</v>
      </c>
      <c r="AA84">
        <f>IF(OR(A84="",I84="",G84="Completed"),"",IF(I84&gt;=StatusDate,I84+ROW()/100000,""))</f>
        <v>46319.00084</v>
      </c>
      <c r="AB84" t="str">
        <f>IF(A84="","",IF(AND(G84&lt;&gt;"Completed",OR(G84="Blocked",AND(TRIM(P84)&lt;&gt;"",P84&lt;&gt;"None"))),ROW(),""))</f>
        <v/>
      </c>
      <c r="AC84" t="str">
        <f>IF(A84="","",IF(G84="Completed","Done",IF(G84="Blocked","Blocked",IF(X84="OVERDUE","Overdue",IF(AND(W84&lt;&gt;"",W84&lt;=2),"Due soon",IF(AND(Y84&lt;&gt;"",LEFT(Y84,1)="⏳",G84&lt;&gt;"Not Started"),"Dependency open",IF(AND(S84&lt;&gt;"None",S84&lt;&gt;"",G84&lt;&gt;"Completed"),"External req.","On track")))))))</f>
        <v>On track</v>
      </c>
    </row>
    <row r="85">
      <c r="A85" t="str">
        <v>P5-11</v>
      </c>
      <c r="B85" t="str">
        <v>Phase 5</v>
      </c>
      <c r="C85" t="str">
        <v>Member Dashboard</v>
      </c>
      <c r="D85" t="str">
        <v>Member dashboard</v>
      </c>
      <c r="E85" t="str">
        <v>Account page: profile edit, plan &amp; expiry, payment history, downloads, saved issues, logout.</v>
      </c>
      <c r="F85" t="str">
        <v>P0</v>
      </c>
      <c r="G85" t="str">
        <v>Not Started</v>
      </c>
      <c r="H85">
        <v>46319</v>
      </c>
      <c r="I85">
        <v>46319</v>
      </c>
      <c r="J85">
        <v>0</v>
      </c>
      <c r="K85" t="str">
        <v>P5-04, P5-07</v>
      </c>
      <c r="L85" t="str">
        <v>Staging (Hostinger)</v>
      </c>
      <c r="M85" t="str">
        <v>page-templates/page-account.php</v>
      </c>
      <c r="N85" t="str">
        <v>Check as free, member and subscriber</v>
      </c>
      <c r="O85" t="str">
        <v>Members manage account and see entitlements</v>
      </c>
      <c r="S85" t="str">
        <v>None</v>
      </c>
      <c r="T85" t="str">
        <v>Not Tested</v>
      </c>
      <c r="U85">
        <f>IF(A85="",0,IF(G85="Completed",1,IF(G85="Not Started",0,MIN(0.99,N(J85)))))</f>
        <v>0</v>
      </c>
      <c r="V85">
        <f>IF(OR(A85="",H85="",I85=""),0,MAX(0,MIN(1,(StatusDate-H85+1)/(I85-H85+1))))</f>
        <v>0</v>
      </c>
      <c r="W85">
        <f>IF(OR(A85="",I85="",G85="Completed"),"",I85-StatusDate)</f>
        <v>13</v>
      </c>
      <c r="X85" t="str">
        <f>IF(A85="","",IF(AND(G85&lt;&gt;"Completed",I85&lt;&gt;"",I85&lt;StatusDate),"OVERDUE",""))</f>
        <v/>
      </c>
      <c r="Y85" t="str">
        <f>IF(OR(A85="",K85=""),"",IF(SUMPRODUCT(($A$6:$A$400&lt;&gt;"")*ISNUMBER(SEARCH($A$6:$A$400,K85))*($G$6:$G$400&lt;&gt;"Completed"))=0,"✓ Ready","⏳ "&amp;SUMPRODUCT(($A$6:$A$400&lt;&gt;"")*ISNUMBER(SEARCH($A$6:$A$400,K85))*($G$6:$G$400&lt;&gt;"Completed"))&amp;" open"))</f>
        <v>⏳ 2 open</v>
      </c>
      <c r="Z85" t="str">
        <f>IF(A85="","",B85&amp;"|"&amp;COUNTIFS($B$6:B85,B85,$A$6:A85,"?*"))</f>
        <v>Phase 5|11</v>
      </c>
      <c r="AA85">
        <f>IF(OR(A85="",I85="",G85="Completed"),"",IF(I85&gt;=StatusDate,I85+ROW()/100000,""))</f>
        <v>46319.00085</v>
      </c>
      <c r="AB85" t="str">
        <f>IF(A85="","",IF(AND(G85&lt;&gt;"Completed",OR(G85="Blocked",AND(TRIM(P85)&lt;&gt;"",P85&lt;&gt;"None"))),ROW(),""))</f>
        <v/>
      </c>
      <c r="AC85" t="str">
        <f>IF(A85="","",IF(G85="Completed","Done",IF(G85="Blocked","Blocked",IF(X85="OVERDUE","Overdue",IF(AND(W85&lt;&gt;"",W85&lt;=2),"Due soon",IF(AND(Y85&lt;&gt;"",LEFT(Y85,1)="⏳",G85&lt;&gt;"Not Started"),"Dependency open",IF(AND(S85&lt;&gt;"None",S85&lt;&gt;"",G85&lt;&gt;"Completed"),"External req.","On track")))))))</f>
        <v>On track</v>
      </c>
    </row>
    <row r="86">
      <c r="A86" t="str">
        <v>P5-12</v>
      </c>
      <c r="B86" t="str">
        <v>Phase 5</v>
      </c>
      <c r="C86" t="str">
        <v>Security</v>
      </c>
      <c r="D86" t="str">
        <v>Security hardening &amp; rate limiting</v>
      </c>
      <c r="E86" t="str">
        <v>Login/registration/reset rate limiting by IP + account, nonces on all forms, CAPTCHA/Turnstile or honeypot, password policy, generic error messages, sanitize/escape audit of auth code.</v>
      </c>
      <c r="F86" t="str">
        <v>P0</v>
      </c>
      <c r="G86" t="str">
        <v>Not Started</v>
      </c>
      <c r="H86">
        <v>46319</v>
      </c>
      <c r="I86">
        <v>46319</v>
      </c>
      <c r="J86">
        <v>0</v>
      </c>
      <c r="K86" t="str">
        <v>P5-04</v>
      </c>
      <c r="L86" t="str">
        <v>Staging (Hostinger)</v>
      </c>
      <c r="M86" t="str">
        <v>inc/security.php</v>
      </c>
      <c r="N86" t="str">
        <v>Brute-force 10 attempts → lockout; CSRF test without nonce</v>
      </c>
      <c r="O86" t="str">
        <v>Abuse throttled; no user enumeration; forms CSRF-safe</v>
      </c>
      <c r="S86" t="str">
        <v>None</v>
      </c>
      <c r="T86" t="str">
        <v>Not Tested</v>
      </c>
      <c r="U86">
        <f>IF(A86="",0,IF(G86="Completed",1,IF(G86="Not Started",0,MIN(0.99,N(J86)))))</f>
        <v>0</v>
      </c>
      <c r="V86">
        <f>IF(OR(A86="",H86="",I86=""),0,MAX(0,MIN(1,(StatusDate-H86+1)/(I86-H86+1))))</f>
        <v>0</v>
      </c>
      <c r="W86">
        <f>IF(OR(A86="",I86="",G86="Completed"),"",I86-StatusDate)</f>
        <v>13</v>
      </c>
      <c r="X86" t="str">
        <f>IF(A86="","",IF(AND(G86&lt;&gt;"Completed",I86&lt;&gt;"",I86&lt;StatusDate),"OVERDUE",""))</f>
        <v/>
      </c>
      <c r="Y86" t="str">
        <f>IF(OR(A86="",K86=""),"",IF(SUMPRODUCT(($A$6:$A$400&lt;&gt;"")*ISNUMBER(SEARCH($A$6:$A$400,K86))*($G$6:$G$400&lt;&gt;"Completed"))=0,"✓ Ready","⏳ "&amp;SUMPRODUCT(($A$6:$A$400&lt;&gt;"")*ISNUMBER(SEARCH($A$6:$A$400,K86))*($G$6:$G$400&lt;&gt;"Completed"))&amp;" open"))</f>
        <v>⏳ 1 open</v>
      </c>
      <c r="Z86" t="str">
        <f>IF(A86="","",B86&amp;"|"&amp;COUNTIFS($B$6:B86,B86,$A$6:A86,"?*"))</f>
        <v>Phase 5|12</v>
      </c>
      <c r="AA86">
        <f>IF(OR(A86="",I86="",G86="Completed"),"",IF(I86&gt;=StatusDate,I86+ROW()/100000,""))</f>
        <v>46319.00086</v>
      </c>
      <c r="AB86" t="str">
        <f>IF(A86="","",IF(AND(G86&lt;&gt;"Completed",OR(G86="Blocked",AND(TRIM(P86)&lt;&gt;"",P86&lt;&gt;"None"))),ROW(),""))</f>
        <v/>
      </c>
      <c r="AC86" t="str">
        <f>IF(A86="","",IF(G86="Completed","Done",IF(G86="Blocked","Blocked",IF(X86="OVERDUE","Overdue",IF(AND(W86&lt;&gt;"",W86&lt;=2),"Due soon",IF(AND(Y86&lt;&gt;"",LEFT(Y86,1)="⏳",G86&lt;&gt;"Not Started"),"Dependency open",IF(AND(S86&lt;&gt;"None",S86&lt;&gt;"",G86&lt;&gt;"Completed"),"External req.","On track")))))))</f>
        <v>On track</v>
      </c>
    </row>
    <row r="87">
      <c r="A87" t="str">
        <v>P5-13</v>
      </c>
      <c r="B87" t="str">
        <v>Phase 5</v>
      </c>
      <c r="C87" t="str">
        <v>Email</v>
      </c>
      <c r="D87" t="str">
        <v>SMTP / transactional email setup</v>
      </c>
      <c r="E87" t="str">
        <v>Configure authenticated SMTP (SPF/DKIM) for verification, reset, receipts and lead notifications.</v>
      </c>
      <c r="F87" t="str">
        <v>P0</v>
      </c>
      <c r="G87" t="str">
        <v>Not Started</v>
      </c>
      <c r="H87">
        <v>46319</v>
      </c>
      <c r="I87">
        <v>46320</v>
      </c>
      <c r="J87">
        <v>0</v>
      </c>
      <c r="L87" t="str">
        <v>Staging (Hostinger)</v>
      </c>
      <c r="M87" t="str">
        <v>wp-config.php or SMTP plugin settings</v>
      </c>
      <c r="N87" t="str">
        <v>Send test emails to Gmail/Outlook; check spam</v>
      </c>
      <c r="O87" t="str">
        <v>Transactional emails delivered to inbox</v>
      </c>
      <c r="S87" t="str">
        <v>Credentials</v>
      </c>
      <c r="T87" t="str">
        <v>Not Tested</v>
      </c>
      <c r="U87">
        <f>IF(A87="",0,IF(G87="Completed",1,IF(G87="Not Started",0,MIN(0.99,N(J87)))))</f>
        <v>0</v>
      </c>
      <c r="V87">
        <f>IF(OR(A87="",H87="",I87=""),0,MAX(0,MIN(1,(StatusDate-H87+1)/(I87-H87+1))))</f>
        <v>0</v>
      </c>
      <c r="W87">
        <f>IF(OR(A87="",I87="",G87="Completed"),"",I87-StatusDate)</f>
        <v>14</v>
      </c>
      <c r="X87" t="str">
        <f>IF(A87="","",IF(AND(G87&lt;&gt;"Completed",I87&lt;&gt;"",I87&lt;StatusDate),"OVERDUE",""))</f>
        <v/>
      </c>
      <c r="Y87" t="str">
        <f>IF(OR(A87="",K87=""),"",IF(SUMPRODUCT(($A$6:$A$400&lt;&gt;"")*ISNUMBER(SEARCH($A$6:$A$400,K87))*($G$6:$G$400&lt;&gt;"Completed"))=0,"✓ Ready","⏳ "&amp;SUMPRODUCT(($A$6:$A$400&lt;&gt;"")*ISNUMBER(SEARCH($A$6:$A$400,K87))*($G$6:$G$400&lt;&gt;"Completed"))&amp;" open"))</f>
        <v/>
      </c>
      <c r="Z87" t="str">
        <f>IF(A87="","",B87&amp;"|"&amp;COUNTIFS($B$6:B87,B87,$A$6:A87,"?*"))</f>
        <v>Phase 5|13</v>
      </c>
      <c r="AA87">
        <f>IF(OR(A87="",I87="",G87="Completed"),"",IF(I87&gt;=StatusDate,I87+ROW()/100000,""))</f>
        <v>46320.00087</v>
      </c>
      <c r="AB87" t="str">
        <f>IF(A87="","",IF(AND(G87&lt;&gt;"Completed",OR(G87="Blocked",AND(TRIM(P87)&lt;&gt;"",P87&lt;&gt;"None"))),ROW(),""))</f>
        <v/>
      </c>
      <c r="AC87" t="str">
        <f>IF(A87="","",IF(G87="Completed","Done",IF(G87="Blocked","Blocked",IF(X87="OVERDUE","Overdue",IF(AND(W87&lt;&gt;"",W87&lt;=2),"Due soon",IF(AND(Y87&lt;&gt;"",LEFT(Y87,1)="⏳",G87&lt;&gt;"Not Started"),"Dependency open",IF(AND(S87&lt;&gt;"None",S87&lt;&gt;"",G87&lt;&gt;"Completed"),"External req.","On track")))))))</f>
        <v>External req.</v>
      </c>
    </row>
    <row r="88">
      <c r="A88" t="str">
        <v>P5-14</v>
      </c>
      <c r="B88" t="str">
        <v>Phase 5</v>
      </c>
      <c r="C88" t="str">
        <v>AdOps</v>
      </c>
      <c r="D88" t="str">
        <v>Advertising page</v>
      </c>
      <c r="E88" t="str">
        <v>page-advertise.php: audience stats, placements, formats, CTA to lead form and media kit.</v>
      </c>
      <c r="F88" t="str">
        <v>P1</v>
      </c>
      <c r="G88" t="str">
        <v>In Progress</v>
      </c>
      <c r="H88">
        <v>46320</v>
      </c>
      <c r="I88">
        <v>46320</v>
      </c>
      <c r="J88">
        <v>0.5</v>
      </c>
      <c r="K88" t="str">
        <v>P1-17</v>
      </c>
      <c r="L88" t="str">
        <v>Staging (Hostinger)</v>
      </c>
      <c r="M88" t="str">
        <v>page-templates/page-advertise.php</v>
      </c>
      <c r="N88" t="str">
        <v>Content review with client; responsive check</v>
      </c>
      <c r="O88" t="str">
        <v>Advertising page live with editable content</v>
      </c>
      <c r="Q88" t="str">
        <v>page-advertise.php template converted from prototype; content/rate calculator pending.</v>
      </c>
      <c r="S88" t="str">
        <v>Client Content</v>
      </c>
      <c r="T88" t="str">
        <v>Not Tested</v>
      </c>
      <c r="U88">
        <f>IF(A88="",0,IF(G88="Completed",1,IF(G88="Not Started",0,MIN(0.99,N(J88)))))</f>
        <v>0</v>
      </c>
      <c r="V88">
        <f>IF(OR(A88="",H88="",I88=""),0,MAX(0,MIN(1,(StatusDate-H88+1)/(I88-H88+1))))</f>
        <v>0</v>
      </c>
      <c r="W88">
        <f>IF(OR(A88="",I88="",G88="Completed"),"",I88-StatusDate)</f>
        <v>14</v>
      </c>
      <c r="X88" t="str">
        <f>IF(A88="","",IF(AND(G88&lt;&gt;"Completed",I88&lt;&gt;"",I88&lt;StatusDate),"OVERDUE",""))</f>
        <v/>
      </c>
      <c r="Y88" t="str">
        <f>IF(OR(A88="",K88=""),"",IF(SUMPRODUCT(($A$6:$A$400&lt;&gt;"")*ISNUMBER(SEARCH($A$6:$A$400,K88))*($G$6:$G$400&lt;&gt;"Completed"))=0,"✓ Ready","⏳ "&amp;SUMPRODUCT(($A$6:$A$400&lt;&gt;"")*ISNUMBER(SEARCH($A$6:$A$400,K88))*($G$6:$G$400&lt;&gt;"Completed"))&amp;" open"))</f>
        <v>⏳ 1 open</v>
      </c>
      <c r="Z88" t="str">
        <f>IF(A88="","",B88&amp;"|"&amp;COUNTIFS($B$6:B88,B88,$A$6:A88,"?*"))</f>
        <v>Phase 5|14</v>
      </c>
      <c r="AA88">
        <f>IF(OR(A88="",I88="",G88="Completed"),"",IF(I88&gt;=StatusDate,I88+ROW()/100000,""))</f>
        <v>46320.00088</v>
      </c>
      <c r="AB88" t="str">
        <f>IF(A88="","",IF(AND(G88&lt;&gt;"Completed",OR(G88="Blocked",AND(TRIM(P88)&lt;&gt;"",P88&lt;&gt;"None"))),ROW(),""))</f>
        <v/>
      </c>
      <c r="AC88" t="str">
        <f>IF(A88="","",IF(G88="Completed","Done",IF(G88="Blocked","Blocked",IF(X88="OVERDUE","Overdue",IF(AND(W88&lt;&gt;"",W88&lt;=2),"Due soon",IF(AND(Y88&lt;&gt;"",LEFT(Y88,1)="⏳",G88&lt;&gt;"Not Started"),"Dependency open",IF(AND(S88&lt;&gt;"None",S88&lt;&gt;"",G88&lt;&gt;"Completed"),"External req.","On track")))))))</f>
        <v>External req.</v>
      </c>
    </row>
    <row r="89">
      <c r="A89" t="str">
        <v>P5-15</v>
      </c>
      <c r="B89" t="str">
        <v>Phase 5</v>
      </c>
      <c r="C89" t="str">
        <v>AdOps</v>
      </c>
      <c r="D89" t="str">
        <v>Advertising rate calculator</v>
      </c>
      <c r="E89" t="str">
        <v>Vanilla JS calculator: placement, size, duration, frequency → estimated price; rates editable in admin (no code).</v>
      </c>
      <c r="F89" t="str">
        <v>P1</v>
      </c>
      <c r="G89" t="str">
        <v>Not Started</v>
      </c>
      <c r="H89">
        <v>46320</v>
      </c>
      <c r="I89">
        <v>46320</v>
      </c>
      <c r="J89">
        <v>0</v>
      </c>
      <c r="K89" t="str">
        <v>P5-14</v>
      </c>
      <c r="L89" t="str">
        <v>Staging (Hostinger)</v>
      </c>
      <c r="M89" t="str">
        <v>assets/js/modules/rate-calculator.js, inc/adops-settings.php</v>
      </c>
      <c r="N89" t="str">
        <v>Test edge values; change a rate in admin</v>
      </c>
      <c r="O89" t="str">
        <v>Calculator accurate and admin-configurable</v>
      </c>
      <c r="S89" t="str">
        <v>Client Content</v>
      </c>
      <c r="T89" t="str">
        <v>Not Tested</v>
      </c>
      <c r="U89">
        <f>IF(A89="",0,IF(G89="Completed",1,IF(G89="Not Started",0,MIN(0.99,N(J89)))))</f>
        <v>0</v>
      </c>
      <c r="V89">
        <f>IF(OR(A89="",H89="",I89=""),0,MAX(0,MIN(1,(StatusDate-H89+1)/(I89-H89+1))))</f>
        <v>0</v>
      </c>
      <c r="W89">
        <f>IF(OR(A89="",I89="",G89="Completed"),"",I89-StatusDate)</f>
        <v>14</v>
      </c>
      <c r="X89" t="str">
        <f>IF(A89="","",IF(AND(G89&lt;&gt;"Completed",I89&lt;&gt;"",I89&lt;StatusDate),"OVERDUE",""))</f>
        <v/>
      </c>
      <c r="Y89" t="str">
        <f>IF(OR(A89="",K89=""),"",IF(SUMPRODUCT(($A$6:$A$400&lt;&gt;"")*ISNUMBER(SEARCH($A$6:$A$400,K89))*($G$6:$G$400&lt;&gt;"Completed"))=0,"✓ Ready","⏳ "&amp;SUMPRODUCT(($A$6:$A$400&lt;&gt;"")*ISNUMBER(SEARCH($A$6:$A$400,K89))*($G$6:$G$400&lt;&gt;"Completed"))&amp;" open"))</f>
        <v>⏳ 1 open</v>
      </c>
      <c r="Z89" t="str">
        <f>IF(A89="","",B89&amp;"|"&amp;COUNTIFS($B$6:B89,B89,$A$6:A89,"?*"))</f>
        <v>Phase 5|15</v>
      </c>
      <c r="AA89">
        <f>IF(OR(A89="",I89="",G89="Completed"),"",IF(I89&gt;=StatusDate,I89+ROW()/100000,""))</f>
        <v>46320.00089</v>
      </c>
      <c r="AB89" t="str">
        <f>IF(A89="","",IF(AND(G89&lt;&gt;"Completed",OR(G89="Blocked",AND(TRIM(P89)&lt;&gt;"",P89&lt;&gt;"None"))),ROW(),""))</f>
        <v/>
      </c>
      <c r="AC89" t="str">
        <f>IF(A89="","",IF(G89="Completed","Done",IF(G89="Blocked","Blocked",IF(X89="OVERDUE","Overdue",IF(AND(W89&lt;&gt;"",W89&lt;=2),"Due soon",IF(AND(Y89&lt;&gt;"",LEFT(Y89,1)="⏳",G89&lt;&gt;"Not Started"),"Dependency open",IF(AND(S89&lt;&gt;"None",S89&lt;&gt;"",G89&lt;&gt;"Completed"),"External req.","On track")))))))</f>
        <v>External req.</v>
      </c>
    </row>
    <row r="90">
      <c r="A90" t="str">
        <v>P5-16</v>
      </c>
      <c r="B90" t="str">
        <v>Phase 5</v>
      </c>
      <c r="C90" t="str">
        <v>AdOps</v>
      </c>
      <c r="D90" t="str">
        <v>Media kit download</v>
      </c>
      <c r="E90" t="str">
        <v>Media kit PDF download, optionally gated behind lead form.</v>
      </c>
      <c r="F90" t="str">
        <v>P2</v>
      </c>
      <c r="G90" t="str">
        <v>Not Started</v>
      </c>
      <c r="H90">
        <v>46320</v>
      </c>
      <c r="I90">
        <v>46320</v>
      </c>
      <c r="J90">
        <v>0</v>
      </c>
      <c r="K90" t="str">
        <v>P5-14, P5-17</v>
      </c>
      <c r="L90" t="str">
        <v>Staging (Hostinger)</v>
      </c>
      <c r="M90" t="str">
        <v>page-templates/page-advertise.php</v>
      </c>
      <c r="N90" t="str">
        <v>Download after form submit</v>
      </c>
      <c r="O90" t="str">
        <v>Media kit downloadable and tracked</v>
      </c>
      <c r="S90" t="str">
        <v>Client Content</v>
      </c>
      <c r="T90" t="str">
        <v>Not Tested</v>
      </c>
      <c r="U90">
        <f>IF(A90="",0,IF(G90="Completed",1,IF(G90="Not Started",0,MIN(0.99,N(J90)))))</f>
        <v>0</v>
      </c>
      <c r="V90">
        <f>IF(OR(A90="",H90="",I90=""),0,MAX(0,MIN(1,(StatusDate-H90+1)/(I90-H90+1))))</f>
        <v>0</v>
      </c>
      <c r="W90">
        <f>IF(OR(A90="",I90="",G90="Completed"),"",I90-StatusDate)</f>
        <v>14</v>
      </c>
      <c r="X90" t="str">
        <f>IF(A90="","",IF(AND(G90&lt;&gt;"Completed",I90&lt;&gt;"",I90&lt;StatusDate),"OVERDUE",""))</f>
        <v/>
      </c>
      <c r="Y90" t="str">
        <f>IF(OR(A90="",K90=""),"",IF(SUMPRODUCT(($A$6:$A$400&lt;&gt;"")*ISNUMBER(SEARCH($A$6:$A$400,K90))*($G$6:$G$400&lt;&gt;"Completed"))=0,"✓ Ready","⏳ "&amp;SUMPRODUCT(($A$6:$A$400&lt;&gt;"")*ISNUMBER(SEARCH($A$6:$A$400,K90))*($G$6:$G$400&lt;&gt;"Completed"))&amp;" open"))</f>
        <v>⏳ 2 open</v>
      </c>
      <c r="Z90" t="str">
        <f>IF(A90="","",B90&amp;"|"&amp;COUNTIFS($B$6:B90,B90,$A$6:A90,"?*"))</f>
        <v>Phase 5|16</v>
      </c>
      <c r="AA90">
        <f>IF(OR(A90="",I90="",G90="Completed"),"",IF(I90&gt;=StatusDate,I90+ROW()/100000,""))</f>
        <v>46320.0009</v>
      </c>
      <c r="AB90" t="str">
        <f>IF(A90="","",IF(AND(G90&lt;&gt;"Completed",OR(G90="Blocked",AND(TRIM(P90)&lt;&gt;"",P90&lt;&gt;"None"))),ROW(),""))</f>
        <v/>
      </c>
      <c r="AC90" t="str">
        <f>IF(A90="","",IF(G90="Completed","Done",IF(G90="Blocked","Blocked",IF(X90="OVERDUE","Overdue",IF(AND(W90&lt;&gt;"",W90&lt;=2),"Due soon",IF(AND(Y90&lt;&gt;"",LEFT(Y90,1)="⏳",G90&lt;&gt;"Not Started"),"Dependency open",IF(AND(S90&lt;&gt;"None",S90&lt;&gt;"",G90&lt;&gt;"Completed"),"External req.","On track")))))))</f>
        <v>External req.</v>
      </c>
    </row>
    <row r="91">
      <c r="A91" t="str">
        <v>P5-17</v>
      </c>
      <c r="B91" t="str">
        <v>Phase 5</v>
      </c>
      <c r="C91" t="str">
        <v>Leads</v>
      </c>
      <c r="D91" t="str">
        <v>Lead capture forms</v>
      </c>
      <c r="E91" t="str">
        <v>Advertising inquiry &amp; general lead forms stored as private 'lead' CPT + email notification; spam protection; admin export CSV.</v>
      </c>
      <c r="F91" t="str">
        <v>P0</v>
      </c>
      <c r="G91" t="str">
        <v>Not Started</v>
      </c>
      <c r="H91">
        <v>46320</v>
      </c>
      <c r="I91">
        <v>46320</v>
      </c>
      <c r="J91">
        <v>0</v>
      </c>
      <c r="K91" t="str">
        <v>P5-12, P5-13</v>
      </c>
      <c r="L91" t="str">
        <v>Staging (Hostinger)</v>
      </c>
      <c r="M91" t="str">
        <v>inc/leads.php</v>
      </c>
      <c r="N91" t="str">
        <v>Submit valid/invalid/spam; export CSV</v>
      </c>
      <c r="O91" t="str">
        <v>Every lead stored and notified; spam blocked</v>
      </c>
      <c r="S91" t="str">
        <v>None</v>
      </c>
      <c r="T91" t="str">
        <v>Not Tested</v>
      </c>
      <c r="U91">
        <f>IF(A91="",0,IF(G91="Completed",1,IF(G91="Not Started",0,MIN(0.99,N(J91)))))</f>
        <v>0</v>
      </c>
      <c r="V91">
        <f>IF(OR(A91="",H91="",I91=""),0,MAX(0,MIN(1,(StatusDate-H91+1)/(I91-H91+1))))</f>
        <v>0</v>
      </c>
      <c r="W91">
        <f>IF(OR(A91="",I91="",G91="Completed"),"",I91-StatusDate)</f>
        <v>14</v>
      </c>
      <c r="X91" t="str">
        <f>IF(A91="","",IF(AND(G91&lt;&gt;"Completed",I91&lt;&gt;"",I91&lt;StatusDate),"OVERDUE",""))</f>
        <v/>
      </c>
      <c r="Y91" t="str">
        <f>IF(OR(A91="",K91=""),"",IF(SUMPRODUCT(($A$6:$A$400&lt;&gt;"")*ISNUMBER(SEARCH($A$6:$A$400,K91))*($G$6:$G$400&lt;&gt;"Completed"))=0,"✓ Ready","⏳ "&amp;SUMPRODUCT(($A$6:$A$400&lt;&gt;"")*ISNUMBER(SEARCH($A$6:$A$400,K91))*($G$6:$G$400&lt;&gt;"Completed"))&amp;" open"))</f>
        <v>⏳ 2 open</v>
      </c>
      <c r="Z91" t="str">
        <f>IF(A91="","",B91&amp;"|"&amp;COUNTIFS($B$6:B91,B91,$A$6:A91,"?*"))</f>
        <v>Phase 5|17</v>
      </c>
      <c r="AA91">
        <f>IF(OR(A91="",I91="",G91="Completed"),"",IF(I91&gt;=StatusDate,I91+ROW()/100000,""))</f>
        <v>46320.00091</v>
      </c>
      <c r="AB91" t="str">
        <f>IF(A91="","",IF(AND(G91&lt;&gt;"Completed",OR(G91="Blocked",AND(TRIM(P91)&lt;&gt;"",P91&lt;&gt;"None"))),ROW(),""))</f>
        <v/>
      </c>
      <c r="AC91" t="str">
        <f>IF(A91="","",IF(G91="Completed","Done",IF(G91="Blocked","Blocked",IF(X91="OVERDUE","Overdue",IF(AND(W91&lt;&gt;"",W91&lt;=2),"Due soon",IF(AND(Y91&lt;&gt;"",LEFT(Y91,1)="⏳",G91&lt;&gt;"Not Started"),"Dependency open",IF(AND(S91&lt;&gt;"None",S91&lt;&gt;"",G91&lt;&gt;"Completed"),"External req.","On track")))))))</f>
        <v>On track</v>
      </c>
    </row>
    <row r="92">
      <c r="A92" t="str">
        <v>P5-18</v>
      </c>
      <c r="B92" t="str">
        <v>Phase 5</v>
      </c>
      <c r="C92" t="str">
        <v>Pages</v>
      </c>
      <c r="D92" t="str">
        <v>About page</v>
      </c>
      <c r="E92" t="str">
        <v>page-about.php: mission, history, team, partners; editable via blocks/ACF-free fields.</v>
      </c>
      <c r="F92" t="str">
        <v>P1</v>
      </c>
      <c r="G92" t="str">
        <v>In Progress</v>
      </c>
      <c r="H92">
        <v>46320</v>
      </c>
      <c r="I92">
        <v>46320</v>
      </c>
      <c r="J92">
        <v>0.5</v>
      </c>
      <c r="K92" t="str">
        <v>P1-17</v>
      </c>
      <c r="L92" t="str">
        <v>Staging (Hostinger)</v>
      </c>
      <c r="M92" t="str">
        <v>page-templates/page-about.php</v>
      </c>
      <c r="N92" t="str">
        <v>Content review; responsive check</v>
      </c>
      <c r="O92" t="str">
        <v>About page live and editable</v>
      </c>
      <c r="Q92" t="str">
        <v>page-about.php present from prototype conversion.</v>
      </c>
      <c r="S92" t="str">
        <v>Client Content</v>
      </c>
      <c r="T92" t="str">
        <v>Not Tested</v>
      </c>
      <c r="U92">
        <f>IF(A92="",0,IF(G92="Completed",1,IF(G92="Not Started",0,MIN(0.99,N(J92)))))</f>
        <v>0</v>
      </c>
      <c r="V92">
        <f>IF(OR(A92="",H92="",I92=""),0,MAX(0,MIN(1,(StatusDate-H92+1)/(I92-H92+1))))</f>
        <v>0</v>
      </c>
      <c r="W92">
        <f>IF(OR(A92="",I92="",G92="Completed"),"",I92-StatusDate)</f>
        <v>14</v>
      </c>
      <c r="X92" t="str">
        <f>IF(A92="","",IF(AND(G92&lt;&gt;"Completed",I92&lt;&gt;"",I92&lt;StatusDate),"OVERDUE",""))</f>
        <v/>
      </c>
      <c r="Y92" t="str">
        <f>IF(OR(A92="",K92=""),"",IF(SUMPRODUCT(($A$6:$A$400&lt;&gt;"")*ISNUMBER(SEARCH($A$6:$A$400,K92))*($G$6:$G$400&lt;&gt;"Completed"))=0,"✓ Ready","⏳ "&amp;SUMPRODUCT(($A$6:$A$400&lt;&gt;"")*ISNUMBER(SEARCH($A$6:$A$400,K92))*($G$6:$G$400&lt;&gt;"Completed"))&amp;" open"))</f>
        <v>⏳ 1 open</v>
      </c>
      <c r="Z92" t="str">
        <f>IF(A92="","",B92&amp;"|"&amp;COUNTIFS($B$6:B92,B92,$A$6:A92,"?*"))</f>
        <v>Phase 5|18</v>
      </c>
      <c r="AA92">
        <f>IF(OR(A92="",I92="",G92="Completed"),"",IF(I92&gt;=StatusDate,I92+ROW()/100000,""))</f>
        <v>46320.00092</v>
      </c>
      <c r="AB92" t="str">
        <f>IF(A92="","",IF(AND(G92&lt;&gt;"Completed",OR(G92="Blocked",AND(TRIM(P92)&lt;&gt;"",P92&lt;&gt;"None"))),ROW(),""))</f>
        <v/>
      </c>
      <c r="AC92" t="str">
        <f>IF(A92="","",IF(G92="Completed","Done",IF(G92="Blocked","Blocked",IF(X92="OVERDUE","Overdue",IF(AND(W92&lt;&gt;"",W92&lt;=2),"Due soon",IF(AND(Y92&lt;&gt;"",LEFT(Y92,1)="⏳",G92&lt;&gt;"Not Started"),"Dependency open",IF(AND(S92&lt;&gt;"None",S92&lt;&gt;"",G92&lt;&gt;"Completed"),"External req.","On track")))))))</f>
        <v>External req.</v>
      </c>
    </row>
    <row r="93">
      <c r="A93" t="str">
        <v>P5-19</v>
      </c>
      <c r="B93" t="str">
        <v>Phase 5</v>
      </c>
      <c r="C93" t="str">
        <v>Pages</v>
      </c>
      <c r="D93" t="str">
        <v>Contact page</v>
      </c>
      <c r="E93" t="str">
        <v>page-contact.php: contact form (stored + emailed), details, map embed (lazy), social links.</v>
      </c>
      <c r="F93" t="str">
        <v>P0</v>
      </c>
      <c r="G93" t="str">
        <v>In Progress</v>
      </c>
      <c r="H93">
        <v>46320</v>
      </c>
      <c r="I93">
        <v>46320</v>
      </c>
      <c r="J93">
        <v>0.45</v>
      </c>
      <c r="K93" t="str">
        <v>P5-17</v>
      </c>
      <c r="L93" t="str">
        <v>Staging (Hostinger)</v>
      </c>
      <c r="M93" t="str">
        <v>page-templates/page-contact.php</v>
      </c>
      <c r="N93" t="str">
        <v>Submit form; check stored entry and email</v>
      </c>
      <c r="O93" t="str">
        <v>Contact form works end-to-end</v>
      </c>
      <c r="Q93" t="str">
        <v>page-contact.php present; lead CPT/email pipeline pending (P5-17).</v>
      </c>
      <c r="S93" t="str">
        <v>None</v>
      </c>
      <c r="T93" t="str">
        <v>Not Tested</v>
      </c>
      <c r="U93">
        <f>IF(A93="",0,IF(G93="Completed",1,IF(G93="Not Started",0,MIN(0.99,N(J93)))))</f>
        <v>0</v>
      </c>
      <c r="V93">
        <f>IF(OR(A93="",H93="",I93=""),0,MAX(0,MIN(1,(StatusDate-H93+1)/(I93-H93+1))))</f>
        <v>0</v>
      </c>
      <c r="W93">
        <f>IF(OR(A93="",I93="",G93="Completed"),"",I93-StatusDate)</f>
        <v>14</v>
      </c>
      <c r="X93" t="str">
        <f>IF(A93="","",IF(AND(G93&lt;&gt;"Completed",I93&lt;&gt;"",I93&lt;StatusDate),"OVERDUE",""))</f>
        <v/>
      </c>
      <c r="Y93" t="str">
        <f>IF(OR(A93="",K93=""),"",IF(SUMPRODUCT(($A$6:$A$400&lt;&gt;"")*ISNUMBER(SEARCH($A$6:$A$400,K93))*($G$6:$G$400&lt;&gt;"Completed"))=0,"✓ Ready","⏳ "&amp;SUMPRODUCT(($A$6:$A$400&lt;&gt;"")*ISNUMBER(SEARCH($A$6:$A$400,K93))*($G$6:$G$400&lt;&gt;"Completed"))&amp;" open"))</f>
        <v>⏳ 1 open</v>
      </c>
      <c r="Z93" t="str">
        <f>IF(A93="","",B93&amp;"|"&amp;COUNTIFS($B$6:B93,B93,$A$6:A93,"?*"))</f>
        <v>Phase 5|19</v>
      </c>
      <c r="AA93">
        <f>IF(OR(A93="",I93="",G93="Completed"),"",IF(I93&gt;=StatusDate,I93+ROW()/100000,""))</f>
        <v>46320.00093</v>
      </c>
      <c r="AB93" t="str">
        <f>IF(A93="","",IF(AND(G93&lt;&gt;"Completed",OR(G93="Blocked",AND(TRIM(P93)&lt;&gt;"",P93&lt;&gt;"None"))),ROW(),""))</f>
        <v/>
      </c>
      <c r="AC93" t="str">
        <f>IF(A93="","",IF(G93="Completed","Done",IF(G93="Blocked","Blocked",IF(X93="OVERDUE","Overdue",IF(AND(W93&lt;&gt;"",W93&lt;=2),"Due soon",IF(AND(Y93&lt;&gt;"",LEFT(Y93,1)="⏳",G93&lt;&gt;"Not Started"),"Dependency open",IF(AND(S93&lt;&gt;"None",S93&lt;&gt;"",G93&lt;&gt;"Completed"),"External req.","On track")))))))</f>
        <v>On track</v>
      </c>
    </row>
    <row r="94">
      <c r="A94" t="str">
        <v>P5-20</v>
      </c>
      <c r="B94" t="str">
        <v>Phase 5</v>
      </c>
      <c r="C94" t="str">
        <v>Roles</v>
      </c>
      <c r="D94" t="str">
        <v>Editorial roles &amp; permissions</v>
      </c>
      <c r="E94" t="str">
        <v>Define roles/capabilities: Editor-in-Chief, Editor, Writer/Contributor, Ad Manager, Subscriber tiers; restrict Customizer/Section Manager to editors+.</v>
      </c>
      <c r="F94" t="str">
        <v>P0</v>
      </c>
      <c r="G94" t="str">
        <v>Not Started</v>
      </c>
      <c r="H94">
        <v>46320</v>
      </c>
      <c r="I94">
        <v>46320</v>
      </c>
      <c r="J94">
        <v>0</v>
      </c>
      <c r="K94" t="str">
        <v>P2-02</v>
      </c>
      <c r="L94" t="str">
        <v>Staging (Hostinger)</v>
      </c>
      <c r="M94" t="str">
        <v>inc/roles.php</v>
      </c>
      <c r="N94" t="str">
        <v>Log in as each role; attempt forbidden actions</v>
      </c>
      <c r="O94" t="str">
        <v>Each role can do exactly what it needs and nothing more</v>
      </c>
      <c r="S94" t="str">
        <v>None</v>
      </c>
      <c r="T94" t="str">
        <v>Not Tested</v>
      </c>
      <c r="U94">
        <f>IF(A94="",0,IF(G94="Completed",1,IF(G94="Not Started",0,MIN(0.99,N(J94)))))</f>
        <v>0</v>
      </c>
      <c r="V94">
        <f>IF(OR(A94="",H94="",I94=""),0,MAX(0,MIN(1,(StatusDate-H94+1)/(I94-H94+1))))</f>
        <v>0</v>
      </c>
      <c r="W94">
        <f>IF(OR(A94="",I94="",G94="Completed"),"",I94-StatusDate)</f>
        <v>14</v>
      </c>
      <c r="X94" t="str">
        <f>IF(A94="","",IF(AND(G94&lt;&gt;"Completed",I94&lt;&gt;"",I94&lt;StatusDate),"OVERDUE",""))</f>
        <v/>
      </c>
      <c r="Y94" t="str">
        <f>IF(OR(A94="",K94=""),"",IF(SUMPRODUCT(($A$6:$A$400&lt;&gt;"")*ISNUMBER(SEARCH($A$6:$A$400,K94))*($G$6:$G$400&lt;&gt;"Completed"))=0,"✓ Ready","⏳ "&amp;SUMPRODUCT(($A$6:$A$400&lt;&gt;"")*ISNUMBER(SEARCH($A$6:$A$400,K94))*($G$6:$G$400&lt;&gt;"Completed"))&amp;" open"))</f>
        <v>⏳ 1 open</v>
      </c>
      <c r="Z94" t="str">
        <f>IF(A94="","",B94&amp;"|"&amp;COUNTIFS($B$6:B94,B94,$A$6:A94,"?*"))</f>
        <v>Phase 5|20</v>
      </c>
      <c r="AA94">
        <f>IF(OR(A94="",I94="",G94="Completed"),"",IF(I94&gt;=StatusDate,I94+ROW()/100000,""))</f>
        <v>46320.00094</v>
      </c>
      <c r="AB94" t="str">
        <f>IF(A94="","",IF(AND(G94&lt;&gt;"Completed",OR(G94="Blocked",AND(TRIM(P94)&lt;&gt;"",P94&lt;&gt;"None"))),ROW(),""))</f>
        <v/>
      </c>
      <c r="AC94" t="str">
        <f>IF(A94="","",IF(G94="Completed","Done",IF(G94="Blocked","Blocked",IF(X94="OVERDUE","Overdue",IF(AND(W94&lt;&gt;"",W94&lt;=2),"Due soon",IF(AND(Y94&lt;&gt;"",LEFT(Y94,1)="⏳",G94&lt;&gt;"Not Started"),"Dependency open",IF(AND(S94&lt;&gt;"None",S94&lt;&gt;"",G94&lt;&gt;"Completed"),"External req.","On track")))))))</f>
        <v>On track</v>
      </c>
    </row>
    <row r="95">
      <c r="A95" t="str">
        <v>P6-01</v>
      </c>
      <c r="B95" t="str">
        <v>Phase 6</v>
      </c>
      <c r="C95" t="str">
        <v>Backup</v>
      </c>
      <c r="D95" t="str">
        <v>Full production backup (files + DB) before any work</v>
      </c>
      <c r="E95" t="str">
        <v>Full backup of production files (incl. large uploads) and database; store off-server; verify archive integrity and restore-test on staging.</v>
      </c>
      <c r="F95" t="str">
        <v>P0</v>
      </c>
      <c r="G95" t="str">
        <v>Not Started</v>
      </c>
      <c r="H95">
        <v>46307</v>
      </c>
      <c r="I95">
        <v>46307</v>
      </c>
      <c r="J95">
        <v>0</v>
      </c>
      <c r="L95" t="str">
        <v>Production</v>
      </c>
      <c r="M95" t="str">
        <v>backups/ (off-server)</v>
      </c>
      <c r="N95" t="str">
        <v>Checksum verified; DB dump imports cleanly on staging</v>
      </c>
      <c r="O95" t="str">
        <v>Restorable backup exists before any change</v>
      </c>
      <c r="S95" t="str">
        <v>Server Access</v>
      </c>
      <c r="T95" t="str">
        <v>Not Tested</v>
      </c>
      <c r="U95">
        <f>IF(A95="",0,IF(G95="Completed",1,IF(G95="Not Started",0,MIN(0.99,N(J95)))))</f>
        <v>0</v>
      </c>
      <c r="V95">
        <f>IF(OR(A95="",H95="",I95=""),0,MAX(0,MIN(1,(StatusDate-H95+1)/(I95-H95+1))))</f>
        <v>0</v>
      </c>
      <c r="W95">
        <f>IF(OR(A95="",I95="",G95="Completed"),"",I95-StatusDate)</f>
        <v>1</v>
      </c>
      <c r="X95" t="str">
        <f>IF(A95="","",IF(AND(G95&lt;&gt;"Completed",I95&lt;&gt;"",I95&lt;StatusDate),"OVERDUE",""))</f>
        <v/>
      </c>
      <c r="Y95" t="str">
        <f>IF(OR(A95="",K95=""),"",IF(SUMPRODUCT(($A$6:$A$400&lt;&gt;"")*ISNUMBER(SEARCH($A$6:$A$400,K95))*($G$6:$G$400&lt;&gt;"Completed"))=0,"✓ Ready","⏳ "&amp;SUMPRODUCT(($A$6:$A$400&lt;&gt;"")*ISNUMBER(SEARCH($A$6:$A$400,K95))*($G$6:$G$400&lt;&gt;"Completed"))&amp;" open"))</f>
        <v/>
      </c>
      <c r="Z95" t="str">
        <f>IF(A95="","",B95&amp;"|"&amp;COUNTIFS($B$6:B95,B95,$A$6:A95,"?*"))</f>
        <v>Phase 6|1</v>
      </c>
      <c r="AA95">
        <f>IF(OR(A95="",I95="",G95="Completed"),"",IF(I95&gt;=StatusDate,I95+ROW()/100000,""))</f>
        <v>46307.00095</v>
      </c>
      <c r="AB95" t="str">
        <f>IF(A95="","",IF(AND(G95&lt;&gt;"Completed",OR(G95="Blocked",AND(TRIM(P95)&lt;&gt;"",P95&lt;&gt;"None"))),ROW(),""))</f>
        <v/>
      </c>
      <c r="AC95" t="str">
        <f>IF(A95="","",IF(G95="Completed","Done",IF(G95="Blocked","Blocked",IF(X95="OVERDUE","Overdue",IF(AND(W95&lt;&gt;"",W95&lt;=2),"Due soon",IF(AND(Y95&lt;&gt;"",LEFT(Y95,1)="⏳",G95&lt;&gt;"Not Started"),"Dependency open",IF(AND(S95&lt;&gt;"None",S95&lt;&gt;"",G95&lt;&gt;"Completed"),"External req.","On track")))))))</f>
        <v>Due soon</v>
      </c>
    </row>
    <row r="96">
      <c r="A96" t="str">
        <v>P6-02</v>
      </c>
      <c r="B96" t="str">
        <v>Phase 6</v>
      </c>
      <c r="C96" t="str">
        <v>Backup</v>
      </c>
      <c r="D96" t="str">
        <v>Verify staging mirrors production</v>
      </c>
      <c r="E96" t="str">
        <v>Confirm staging DB/content is a current copy: post count (2,645 articles), media, users, menus, plugins; record content-freeze or delta-sync approach.</v>
      </c>
      <c r="F96" t="str">
        <v>P0</v>
      </c>
      <c r="G96" t="str">
        <v>Not Started</v>
      </c>
      <c r="H96">
        <v>46307</v>
      </c>
      <c r="I96">
        <v>46307</v>
      </c>
      <c r="J96">
        <v>0</v>
      </c>
      <c r="K96" t="str">
        <v>P6-01</v>
      </c>
      <c r="L96" t="str">
        <v>Staging (Hostinger)</v>
      </c>
      <c r="M96" t="str">
        <v>wp-config.php, database</v>
      </c>
      <c r="N96" t="str">
        <v>Compare post/term/user counts staging vs production</v>
      </c>
      <c r="O96" t="str">
        <v>Staging is a verified mirror; content-delta plan agreed</v>
      </c>
      <c r="S96" t="str">
        <v>Server Access</v>
      </c>
      <c r="T96" t="str">
        <v>Not Tested</v>
      </c>
      <c r="U96">
        <f>IF(A96="",0,IF(G96="Completed",1,IF(G96="Not Started",0,MIN(0.99,N(J96)))))</f>
        <v>0</v>
      </c>
      <c r="V96">
        <f>IF(OR(A96="",H96="",I96=""),0,MAX(0,MIN(1,(StatusDate-H96+1)/(I96-H96+1))))</f>
        <v>0</v>
      </c>
      <c r="W96">
        <f>IF(OR(A96="",I96="",G96="Completed"),"",I96-StatusDate)</f>
        <v>1</v>
      </c>
      <c r="X96" t="str">
        <f>IF(A96="","",IF(AND(G96&lt;&gt;"Completed",I96&lt;&gt;"",I96&lt;StatusDate),"OVERDUE",""))</f>
        <v/>
      </c>
      <c r="Y96" t="str">
        <f>IF(OR(A96="",K96=""),"",IF(SUMPRODUCT(($A$6:$A$400&lt;&gt;"")*ISNUMBER(SEARCH($A$6:$A$400,K96))*($G$6:$G$400&lt;&gt;"Completed"))=0,"✓ Ready","⏳ "&amp;SUMPRODUCT(($A$6:$A$400&lt;&gt;"")*ISNUMBER(SEARCH($A$6:$A$400,K96))*($G$6:$G$400&lt;&gt;"Completed"))&amp;" open"))</f>
        <v>⏳ 1 open</v>
      </c>
      <c r="Z96" t="str">
        <f>IF(A96="","",B96&amp;"|"&amp;COUNTIFS($B$6:B96,B96,$A$6:A96,"?*"))</f>
        <v>Phase 6|2</v>
      </c>
      <c r="AA96">
        <f>IF(OR(A96="",I96="",G96="Completed"),"",IF(I96&gt;=StatusDate,I96+ROW()/100000,""))</f>
        <v>46307.00096</v>
      </c>
      <c r="AB96" t="str">
        <f>IF(A96="","",IF(AND(G96&lt;&gt;"Completed",OR(G96="Blocked",AND(TRIM(P96)&lt;&gt;"",P96&lt;&gt;"None"))),ROW(),""))</f>
        <v/>
      </c>
      <c r="AC96" t="str">
        <f>IF(A96="","",IF(G96="Completed","Done",IF(G96="Blocked","Blocked",IF(X96="OVERDUE","Overdue",IF(AND(W96&lt;&gt;"",W96&lt;=2),"Due soon",IF(AND(Y96&lt;&gt;"",LEFT(Y96,1)="⏳",G96&lt;&gt;"Not Started"),"Dependency open",IF(AND(S96&lt;&gt;"None",S96&lt;&gt;"",G96&lt;&gt;"Completed"),"External req.","On track")))))))</f>
        <v>Due soon</v>
      </c>
    </row>
    <row r="97">
      <c r="A97" t="str">
        <v>P6-03</v>
      </c>
      <c r="B97" t="str">
        <v>Phase 6</v>
      </c>
      <c r="C97" t="str">
        <v>DB Audit</v>
      </c>
      <c r="D97" t="str">
        <v>Database audit</v>
      </c>
      <c r="E97" t="str">
        <v>Table sizes, autoloaded options size, revisions, expired transients, orphaned postmeta/termmeta, JNews options and tables; document findings.</v>
      </c>
      <c r="F97" t="str">
        <v>P0</v>
      </c>
      <c r="G97" t="str">
        <v>Not Started</v>
      </c>
      <c r="H97">
        <v>46308</v>
      </c>
      <c r="I97">
        <v>46308</v>
      </c>
      <c r="J97">
        <v>0</v>
      </c>
      <c r="K97" t="str">
        <v>P6-02</v>
      </c>
      <c r="L97" t="str">
        <v>Staging (Hostinger)</v>
      </c>
      <c r="M97" t="str">
        <v>database (phpMyAdmin)</v>
      </c>
      <c r="N97" t="str">
        <v>Run audit queries; export results</v>
      </c>
      <c r="O97" t="str">
        <v>Audit report saved; risks logged</v>
      </c>
      <c r="S97" t="str">
        <v>None</v>
      </c>
      <c r="T97" t="str">
        <v>Not Tested</v>
      </c>
      <c r="U97">
        <f>IF(A97="",0,IF(G97="Completed",1,IF(G97="Not Started",0,MIN(0.99,N(J97)))))</f>
        <v>0</v>
      </c>
      <c r="V97">
        <f>IF(OR(A97="",H97="",I97=""),0,MAX(0,MIN(1,(StatusDate-H97+1)/(I97-H97+1))))</f>
        <v>0</v>
      </c>
      <c r="W97">
        <f>IF(OR(A97="",I97="",G97="Completed"),"",I97-StatusDate)</f>
        <v>2</v>
      </c>
      <c r="X97" t="str">
        <f>IF(A97="","",IF(AND(G97&lt;&gt;"Completed",I97&lt;&gt;"",I97&lt;StatusDate),"OVERDUE",""))</f>
        <v/>
      </c>
      <c r="Y97" t="str">
        <f>IF(OR(A97="",K97=""),"",IF(SUMPRODUCT(($A$6:$A$400&lt;&gt;"")*ISNUMBER(SEARCH($A$6:$A$400,K97))*($G$6:$G$400&lt;&gt;"Completed"))=0,"✓ Ready","⏳ "&amp;SUMPRODUCT(($A$6:$A$400&lt;&gt;"")*ISNUMBER(SEARCH($A$6:$A$400,K97))*($G$6:$G$400&lt;&gt;"Completed"))&amp;" open"))</f>
        <v>⏳ 1 open</v>
      </c>
      <c r="Z97" t="str">
        <f>IF(A97="","",B97&amp;"|"&amp;COUNTIFS($B$6:B97,B97,$A$6:A97,"?*"))</f>
        <v>Phase 6|3</v>
      </c>
      <c r="AA97">
        <f>IF(OR(A97="",I97="",G97="Completed"),"",IF(I97&gt;=StatusDate,I97+ROW()/100000,""))</f>
        <v>46308.00097</v>
      </c>
      <c r="AB97" t="str">
        <f>IF(A97="","",IF(AND(G97&lt;&gt;"Completed",OR(G97="Blocked",AND(TRIM(P97)&lt;&gt;"",P97&lt;&gt;"None"))),ROW(),""))</f>
        <v/>
      </c>
      <c r="AC97" t="str">
        <f>IF(A97="","",IF(G97="Completed","Done",IF(G97="Blocked","Blocked",IF(X97="OVERDUE","Overdue",IF(AND(W97&lt;&gt;"",W97&lt;=2),"Due soon",IF(AND(Y97&lt;&gt;"",LEFT(Y97,1)="⏳",G97&lt;&gt;"Not Started"),"Dependency open",IF(AND(S97&lt;&gt;"None",S97&lt;&gt;"",G97&lt;&gt;"Completed"),"External req.","On track")))))))</f>
        <v>Due soon</v>
      </c>
    </row>
    <row r="98">
      <c r="A98" t="str">
        <v>P6-04</v>
      </c>
      <c r="B98" t="str">
        <v>Phase 6</v>
      </c>
      <c r="C98" t="str">
        <v>JNews Review</v>
      </c>
      <c r="D98" t="str">
        <v>Legacy JNews dependency review</v>
      </c>
      <c r="E98" t="str">
        <v>Inventory JNews shortcodes in post_content, JNews postmeta in use (views, subtitle, video, gallery), widgets, menus, and plugins depending on JNews; decide keep/convert/drop for each.</v>
      </c>
      <c r="F98" t="str">
        <v>P0</v>
      </c>
      <c r="G98" t="str">
        <v>Not Started</v>
      </c>
      <c r="H98">
        <v>46308</v>
      </c>
      <c r="I98">
        <v>46308</v>
      </c>
      <c r="J98">
        <v>0</v>
      </c>
      <c r="K98" t="str">
        <v>P6-03</v>
      </c>
      <c r="L98" t="str">
        <v>Staging (Hostinger)</v>
      </c>
      <c r="M98" t="str">
        <v>database, wp-content/plugins/jnews-*</v>
      </c>
      <c r="N98" t="str">
        <v>SQL LIKE search for shortcodes; meta key frequency list</v>
      </c>
      <c r="O98" t="str">
        <v>Every JNews dependency has a documented decision</v>
      </c>
      <c r="S98" t="str">
        <v>None</v>
      </c>
      <c r="T98" t="str">
        <v>Not Tested</v>
      </c>
      <c r="U98">
        <f>IF(A98="",0,IF(G98="Completed",1,IF(G98="Not Started",0,MIN(0.99,N(J98)))))</f>
        <v>0</v>
      </c>
      <c r="V98">
        <f>IF(OR(A98="",H98="",I98=""),0,MAX(0,MIN(1,(StatusDate-H98+1)/(I98-H98+1))))</f>
        <v>0</v>
      </c>
      <c r="W98">
        <f>IF(OR(A98="",I98="",G98="Completed"),"",I98-StatusDate)</f>
        <v>2</v>
      </c>
      <c r="X98" t="str">
        <f>IF(A98="","",IF(AND(G98&lt;&gt;"Completed",I98&lt;&gt;"",I98&lt;StatusDate),"OVERDUE",""))</f>
        <v/>
      </c>
      <c r="Y98" t="str">
        <f>IF(OR(A98="",K98=""),"",IF(SUMPRODUCT(($A$6:$A$400&lt;&gt;"")*ISNUMBER(SEARCH($A$6:$A$400,K98))*($G$6:$G$400&lt;&gt;"Completed"))=0,"✓ Ready","⏳ "&amp;SUMPRODUCT(($A$6:$A$400&lt;&gt;"")*ISNUMBER(SEARCH($A$6:$A$400,K98))*($G$6:$G$400&lt;&gt;"Completed"))&amp;" open"))</f>
        <v>⏳ 1 open</v>
      </c>
      <c r="Z98" t="str">
        <f>IF(A98="","",B98&amp;"|"&amp;COUNTIFS($B$6:B98,B98,$A$6:A98,"?*"))</f>
        <v>Phase 6|4</v>
      </c>
      <c r="AA98">
        <f>IF(OR(A98="",I98="",G98="Completed"),"",IF(I98&gt;=StatusDate,I98+ROW()/100000,""))</f>
        <v>46308.00098</v>
      </c>
      <c r="AB98" t="str">
        <f>IF(A98="","",IF(AND(G98&lt;&gt;"Completed",OR(G98="Blocked",AND(TRIM(P98)&lt;&gt;"",P98&lt;&gt;"None"))),ROW(),""))</f>
        <v/>
      </c>
      <c r="AC98" t="str">
        <f>IF(A98="","",IF(G98="Completed","Done",IF(G98="Blocked","Blocked",IF(X98="OVERDUE","Overdue",IF(AND(W98&lt;&gt;"",W98&lt;=2),"Due soon",IF(AND(Y98&lt;&gt;"",LEFT(Y98,1)="⏳",G98&lt;&gt;"Not Started"),"Dependency open",IF(AND(S98&lt;&gt;"None",S98&lt;&gt;"",G98&lt;&gt;"Completed"),"External req.","On track")))))))</f>
        <v>Due soon</v>
      </c>
    </row>
    <row r="99">
      <c r="A99" t="str">
        <v>P6-05</v>
      </c>
      <c r="B99" t="str">
        <v>Phase 6</v>
      </c>
      <c r="C99" t="str">
        <v>URL Inventory</v>
      </c>
      <c r="D99" t="str">
        <v>Export URL inventory (2,645 articles + taxonomies)</v>
      </c>
      <c r="E99" t="str">
        <v>Export all article, category, tag, author, page URLs from production sitemaps/DB into url-inventory.csv.</v>
      </c>
      <c r="F99" t="str">
        <v>P0</v>
      </c>
      <c r="G99" t="str">
        <v>Not Started</v>
      </c>
      <c r="H99">
        <v>46308</v>
      </c>
      <c r="I99">
        <v>46308</v>
      </c>
      <c r="J99">
        <v>0</v>
      </c>
      <c r="K99" t="str">
        <v>P6-01</v>
      </c>
      <c r="L99" t="str">
        <v>Production</v>
      </c>
      <c r="M99" t="str">
        <v>url-inventory.csv</v>
      </c>
      <c r="N99" t="str">
        <v>Row count = 2,645 articles + taxonomy/page rows</v>
      </c>
      <c r="O99" t="str">
        <v>Complete URL inventory saved</v>
      </c>
      <c r="S99" t="str">
        <v>None</v>
      </c>
      <c r="T99" t="str">
        <v>Not Tested</v>
      </c>
      <c r="U99">
        <f>IF(A99="",0,IF(G99="Completed",1,IF(G99="Not Started",0,MIN(0.99,N(J99)))))</f>
        <v>0</v>
      </c>
      <c r="V99">
        <f>IF(OR(A99="",H99="",I99=""),0,MAX(0,MIN(1,(StatusDate-H99+1)/(I99-H99+1))))</f>
        <v>0</v>
      </c>
      <c r="W99">
        <f>IF(OR(A99="",I99="",G99="Completed"),"",I99-StatusDate)</f>
        <v>2</v>
      </c>
      <c r="X99" t="str">
        <f>IF(A99="","",IF(AND(G99&lt;&gt;"Completed",I99&lt;&gt;"",I99&lt;StatusDate),"OVERDUE",""))</f>
        <v/>
      </c>
      <c r="Y99" t="str">
        <f>IF(OR(A99="",K99=""),"",IF(SUMPRODUCT(($A$6:$A$400&lt;&gt;"")*ISNUMBER(SEARCH($A$6:$A$400,K99))*($G$6:$G$400&lt;&gt;"Completed"))=0,"✓ Ready","⏳ "&amp;SUMPRODUCT(($A$6:$A$400&lt;&gt;"")*ISNUMBER(SEARCH($A$6:$A$400,K99))*($G$6:$G$400&lt;&gt;"Completed"))&amp;" open"))</f>
        <v>⏳ 1 open</v>
      </c>
      <c r="Z99" t="str">
        <f>IF(A99="","",B99&amp;"|"&amp;COUNTIFS($B$6:B99,B99,$A$6:A99,"?*"))</f>
        <v>Phase 6|5</v>
      </c>
      <c r="AA99">
        <f>IF(OR(A99="",I99="",G99="Completed"),"",IF(I99&gt;=StatusDate,I99+ROW()/100000,""))</f>
        <v>46308.00099</v>
      </c>
      <c r="AB99" t="str">
        <f>IF(A99="","",IF(AND(G99&lt;&gt;"Completed",OR(G99="Blocked",AND(TRIM(P99)&lt;&gt;"",P99&lt;&gt;"None"))),ROW(),""))</f>
        <v/>
      </c>
      <c r="AC99" t="str">
        <f>IF(A99="","",IF(G99="Completed","Done",IF(G99="Blocked","Blocked",IF(X99="OVERDUE","Overdue",IF(AND(W99&lt;&gt;"",W99&lt;=2),"Due soon",IF(AND(Y99&lt;&gt;"",LEFT(Y99,1)="⏳",G99&lt;&gt;"Not Started"),"Dependency open",IF(AND(S99&lt;&gt;"None",S99&lt;&gt;"",G99&lt;&gt;"Completed"),"External req.","On track")))))))</f>
        <v>Due soon</v>
      </c>
    </row>
    <row r="100">
      <c r="A100" t="str">
        <v>P6-06</v>
      </c>
      <c r="B100" t="str">
        <v>Phase 6</v>
      </c>
      <c r="C100" t="str">
        <v>SEO Baseline</v>
      </c>
      <c r="D100" t="str">
        <v>Capture SEO baseline</v>
      </c>
      <c r="E100" t="str">
        <v>Crawl production: titles, meta descriptions, canonicals, H1, robots, hreflang/OG, schema, sitemap; export Search Console coverage &amp; top pages.</v>
      </c>
      <c r="F100" t="str">
        <v>P0</v>
      </c>
      <c r="G100" t="str">
        <v>Not Started</v>
      </c>
      <c r="H100">
        <v>46308</v>
      </c>
      <c r="I100">
        <v>46308</v>
      </c>
      <c r="J100">
        <v>0</v>
      </c>
      <c r="K100" t="str">
        <v>P6-05</v>
      </c>
      <c r="L100" t="str">
        <v>Production</v>
      </c>
      <c r="M100" t="str">
        <v>seo-baseline.csv</v>
      </c>
      <c r="N100" t="str">
        <v>Baseline crawl complete; GSC export saved</v>
      </c>
      <c r="O100" t="str">
        <v>Baseline available for comparison</v>
      </c>
      <c r="S100" t="str">
        <v>Credentials</v>
      </c>
      <c r="T100" t="str">
        <v>Not Tested</v>
      </c>
      <c r="U100">
        <f>IF(A100="",0,IF(G100="Completed",1,IF(G100="Not Started",0,MIN(0.99,N(J100)))))</f>
        <v>0</v>
      </c>
      <c r="V100">
        <f>IF(OR(A100="",H100="",I100=""),0,MAX(0,MIN(1,(StatusDate-H100+1)/(I100-H100+1))))</f>
        <v>0</v>
      </c>
      <c r="W100">
        <f>IF(OR(A100="",I100="",G100="Completed"),"",I100-StatusDate)</f>
        <v>2</v>
      </c>
      <c r="X100" t="str">
        <f>IF(A100="","",IF(AND(G100&lt;&gt;"Completed",I100&lt;&gt;"",I100&lt;StatusDate),"OVERDUE",""))</f>
        <v/>
      </c>
      <c r="Y100" t="str">
        <f>IF(OR(A100="",K100=""),"",IF(SUMPRODUCT(($A$6:$A$400&lt;&gt;"")*ISNUMBER(SEARCH($A$6:$A$400,K100))*($G$6:$G$400&lt;&gt;"Completed"))=0,"✓ Ready","⏳ "&amp;SUMPRODUCT(($A$6:$A$400&lt;&gt;"")*ISNUMBER(SEARCH($A$6:$A$400,K100))*($G$6:$G$400&lt;&gt;"Completed"))&amp;" open"))</f>
        <v>⏳ 1 open</v>
      </c>
      <c r="Z100" t="str">
        <f>IF(A100="","",B100&amp;"|"&amp;COUNTIFS($B$6:B100,B100,$A$6:A100,"?*"))</f>
        <v>Phase 6|6</v>
      </c>
      <c r="AA100">
        <f>IF(OR(A100="",I100="",G100="Completed"),"",IF(I100&gt;=StatusDate,I100+ROW()/100000,""))</f>
        <v>46308.001</v>
      </c>
      <c r="AB100" t="str">
        <f>IF(A100="","",IF(AND(G100&lt;&gt;"Completed",OR(G100="Blocked",AND(TRIM(P100)&lt;&gt;"",P100&lt;&gt;"None"))),ROW(),""))</f>
        <v/>
      </c>
      <c r="AC100" t="str">
        <f>IF(A100="","",IF(G100="Completed","Done",IF(G100="Blocked","Blocked",IF(X100="OVERDUE","Overdue",IF(AND(W100&lt;&gt;"",W100&lt;=2),"Due soon",IF(AND(Y100&lt;&gt;"",LEFT(Y100,1)="⏳",G100&lt;&gt;"Not Started"),"Dependency open",IF(AND(S100&lt;&gt;"None",S100&lt;&gt;"",G100&lt;&gt;"Completed"),"External req.","On track")))))))</f>
        <v>Due soon</v>
      </c>
    </row>
    <row r="101">
      <c r="A101" t="str">
        <v>P6-07</v>
      </c>
      <c r="B101" t="str">
        <v>Phase 6</v>
      </c>
      <c r="C101" t="str">
        <v>DB Optimization</v>
      </c>
      <c r="D101" t="str">
        <v>Safe database optimization (staging first)</v>
      </c>
      <c r="E101" t="str">
        <v>Limit revisions, delete expired transients, orphan meta, trim autoload; only after backup; replicate on production only during cutover window.</v>
      </c>
      <c r="F101" t="str">
        <v>P1</v>
      </c>
      <c r="G101" t="str">
        <v>Not Started</v>
      </c>
      <c r="H101">
        <v>46321</v>
      </c>
      <c r="I101">
        <v>46321</v>
      </c>
      <c r="J101">
        <v>0</v>
      </c>
      <c r="K101" t="str">
        <v>P6-03, P6-04</v>
      </c>
      <c r="L101" t="str">
        <v>Staging (Hostinger)</v>
      </c>
      <c r="M101" t="str">
        <v>wp-config.php (WP_POST_REVISIONS), database</v>
      </c>
      <c r="N101" t="str">
        <v>Before/after sizes; site regression check</v>
      </c>
      <c r="O101" t="str">
        <v>DB smaller and faster with no content loss</v>
      </c>
      <c r="S101" t="str">
        <v>None</v>
      </c>
      <c r="T101" t="str">
        <v>Not Tested</v>
      </c>
      <c r="U101">
        <f>IF(A101="",0,IF(G101="Completed",1,IF(G101="Not Started",0,MIN(0.99,N(J101)))))</f>
        <v>0</v>
      </c>
      <c r="V101">
        <f>IF(OR(A101="",H101="",I101=""),0,MAX(0,MIN(1,(StatusDate-H101+1)/(I101-H101+1))))</f>
        <v>0</v>
      </c>
      <c r="W101">
        <f>IF(OR(A101="",I101="",G101="Completed"),"",I101-StatusDate)</f>
        <v>15</v>
      </c>
      <c r="X101" t="str">
        <f>IF(A101="","",IF(AND(G101&lt;&gt;"Completed",I101&lt;&gt;"",I101&lt;StatusDate),"OVERDUE",""))</f>
        <v/>
      </c>
      <c r="Y101" t="str">
        <f>IF(OR(A101="",K101=""),"",IF(SUMPRODUCT(($A$6:$A$400&lt;&gt;"")*ISNUMBER(SEARCH($A$6:$A$400,K101))*($G$6:$G$400&lt;&gt;"Completed"))=0,"✓ Ready","⏳ "&amp;SUMPRODUCT(($A$6:$A$400&lt;&gt;"")*ISNUMBER(SEARCH($A$6:$A$400,K101))*($G$6:$G$400&lt;&gt;"Completed"))&amp;" open"))</f>
        <v>⏳ 2 open</v>
      </c>
      <c r="Z101" t="str">
        <f>IF(A101="","",B101&amp;"|"&amp;COUNTIFS($B$6:B101,B101,$A$6:A101,"?*"))</f>
        <v>Phase 6|7</v>
      </c>
      <c r="AA101">
        <f>IF(OR(A101="",I101="",G101="Completed"),"",IF(I101&gt;=StatusDate,I101+ROW()/100000,""))</f>
        <v>46321.00101</v>
      </c>
      <c r="AB101" t="str">
        <f>IF(A101="","",IF(AND(G101&lt;&gt;"Completed",OR(G101="Blocked",AND(TRIM(P101)&lt;&gt;"",P101&lt;&gt;"None"))),ROW(),""))</f>
        <v/>
      </c>
      <c r="AC101" t="str">
        <f>IF(A101="","",IF(G101="Completed","Done",IF(G101="Blocked","Blocked",IF(X101="OVERDUE","Overdue",IF(AND(W101&lt;&gt;"",W101&lt;=2),"Due soon",IF(AND(Y101&lt;&gt;"",LEFT(Y101,1)="⏳",G101&lt;&gt;"Not Started"),"Dependency open",IF(AND(S101&lt;&gt;"None",S101&lt;&gt;"",G101&lt;&gt;"Completed"),"External req.","On track")))))))</f>
        <v>On track</v>
      </c>
    </row>
    <row r="102">
      <c r="A102" t="str">
        <v>P6-08</v>
      </c>
      <c r="B102" t="str">
        <v>Phase 6</v>
      </c>
      <c r="C102" t="str">
        <v>URL Validation</v>
      </c>
      <c r="D102" t="str">
        <v>Validate all 2,645 article URLs on staging</v>
      </c>
      <c r="E102" t="str">
        <v>Crawl/script all inventory URLs against staging (host-swapped): expect 200, same permalink, correct template; list any 404/redirect.</v>
      </c>
      <c r="F102" t="str">
        <v>P0</v>
      </c>
      <c r="G102" t="str">
        <v>Not Started</v>
      </c>
      <c r="H102">
        <v>46321</v>
      </c>
      <c r="I102">
        <v>46321</v>
      </c>
      <c r="J102">
        <v>0</v>
      </c>
      <c r="K102" t="str">
        <v>P6-05, P3-16</v>
      </c>
      <c r="L102" t="str">
        <v>Staging (Hostinger)</v>
      </c>
      <c r="M102" t="str">
        <v>url-inventory.csv</v>
      </c>
      <c r="N102" t="str">
        <v>Automated crawl; 0 unexpected 404s</v>
      </c>
      <c r="O102" t="str">
        <v>2,645/2,645 article URLs return 200 with correct content</v>
      </c>
      <c r="S102" t="str">
        <v>None</v>
      </c>
      <c r="T102" t="str">
        <v>Not Tested</v>
      </c>
      <c r="U102">
        <f>IF(A102="",0,IF(G102="Completed",1,IF(G102="Not Started",0,MIN(0.99,N(J102)))))</f>
        <v>0</v>
      </c>
      <c r="V102">
        <f>IF(OR(A102="",H102="",I102=""),0,MAX(0,MIN(1,(StatusDate-H102+1)/(I102-H102+1))))</f>
        <v>0</v>
      </c>
      <c r="W102">
        <f>IF(OR(A102="",I102="",G102="Completed"),"",I102-StatusDate)</f>
        <v>15</v>
      </c>
      <c r="X102" t="str">
        <f>IF(A102="","",IF(AND(G102&lt;&gt;"Completed",I102&lt;&gt;"",I102&lt;StatusDate),"OVERDUE",""))</f>
        <v/>
      </c>
      <c r="Y102" t="str">
        <f>IF(OR(A102="",K102=""),"",IF(SUMPRODUCT(($A$6:$A$400&lt;&gt;"")*ISNUMBER(SEARCH($A$6:$A$400,K102))*($G$6:$G$400&lt;&gt;"Completed"))=0,"✓ Ready","⏳ "&amp;SUMPRODUCT(($A$6:$A$400&lt;&gt;"")*ISNUMBER(SEARCH($A$6:$A$400,K102))*($G$6:$G$400&lt;&gt;"Completed"))&amp;" open"))</f>
        <v>⏳ 2 open</v>
      </c>
      <c r="Z102" t="str">
        <f>IF(A102="","",B102&amp;"|"&amp;COUNTIFS($B$6:B102,B102,$A$6:A102,"?*"))</f>
        <v>Phase 6|8</v>
      </c>
      <c r="AA102">
        <f>IF(OR(A102="",I102="",G102="Completed"),"",IF(I102&gt;=StatusDate,I102+ROW()/100000,""))</f>
        <v>46321.00102</v>
      </c>
      <c r="AB102" t="str">
        <f>IF(A102="","",IF(AND(G102&lt;&gt;"Completed",OR(G102="Blocked",AND(TRIM(P102)&lt;&gt;"",P102&lt;&gt;"None"))),ROW(),""))</f>
        <v/>
      </c>
      <c r="AC102" t="str">
        <f>IF(A102="","",IF(G102="Completed","Done",IF(G102="Blocked","Blocked",IF(X102="OVERDUE","Overdue",IF(AND(W102&lt;&gt;"",W102&lt;=2),"Due soon",IF(AND(Y102&lt;&gt;"",LEFT(Y102,1)="⏳",G102&lt;&gt;"Not Started"),"Dependency open",IF(AND(S102&lt;&gt;"None",S102&lt;&gt;"",G102&lt;&gt;"Completed"),"External req.","On track")))))))</f>
        <v>On track</v>
      </c>
    </row>
    <row r="103">
      <c r="A103" t="str">
        <v>P6-09</v>
      </c>
      <c r="B103" t="str">
        <v>Phase 6</v>
      </c>
      <c r="C103" t="str">
        <v>SEO</v>
      </c>
      <c r="D103" t="str">
        <v>SEO comparison: staging vs baseline</v>
      </c>
      <c r="E103" t="str">
        <v>Diff titles, metas, canonicals, H1, schema, robots between staging and baseline; fix regressions.</v>
      </c>
      <c r="F103" t="str">
        <v>P0</v>
      </c>
      <c r="G103" t="str">
        <v>Not Started</v>
      </c>
      <c r="H103">
        <v>46321</v>
      </c>
      <c r="I103">
        <v>46322</v>
      </c>
      <c r="J103">
        <v>0</v>
      </c>
      <c r="K103" t="str">
        <v>P6-06, P6-08</v>
      </c>
      <c r="L103" t="str">
        <v>Staging (Hostinger)</v>
      </c>
      <c r="M103" t="str">
        <v>seo-baseline.csv</v>
      </c>
      <c r="N103" t="str">
        <v>Diff report reviewed</v>
      </c>
      <c r="O103" t="str">
        <v>No SEO regressions vs baseline</v>
      </c>
      <c r="S103" t="str">
        <v>None</v>
      </c>
      <c r="T103" t="str">
        <v>Not Tested</v>
      </c>
      <c r="U103">
        <f>IF(A103="",0,IF(G103="Completed",1,IF(G103="Not Started",0,MIN(0.99,N(J103)))))</f>
        <v>0</v>
      </c>
      <c r="V103">
        <f>IF(OR(A103="",H103="",I103=""),0,MAX(0,MIN(1,(StatusDate-H103+1)/(I103-H103+1))))</f>
        <v>0</v>
      </c>
      <c r="W103">
        <f>IF(OR(A103="",I103="",G103="Completed"),"",I103-StatusDate)</f>
        <v>16</v>
      </c>
      <c r="X103" t="str">
        <f>IF(A103="","",IF(AND(G103&lt;&gt;"Completed",I103&lt;&gt;"",I103&lt;StatusDate),"OVERDUE",""))</f>
        <v/>
      </c>
      <c r="Y103" t="str">
        <f>IF(OR(A103="",K103=""),"",IF(SUMPRODUCT(($A$6:$A$400&lt;&gt;"")*ISNUMBER(SEARCH($A$6:$A$400,K103))*($G$6:$G$400&lt;&gt;"Completed"))=0,"✓ Ready","⏳ "&amp;SUMPRODUCT(($A$6:$A$400&lt;&gt;"")*ISNUMBER(SEARCH($A$6:$A$400,K103))*($G$6:$G$400&lt;&gt;"Completed"))&amp;" open"))</f>
        <v>⏳ 2 open</v>
      </c>
      <c r="Z103" t="str">
        <f>IF(A103="","",B103&amp;"|"&amp;COUNTIFS($B$6:B103,B103,$A$6:A103,"?*"))</f>
        <v>Phase 6|9</v>
      </c>
      <c r="AA103">
        <f>IF(OR(A103="",I103="",G103="Completed"),"",IF(I103&gt;=StatusDate,I103+ROW()/100000,""))</f>
        <v>46322.00103</v>
      </c>
      <c r="AB103" t="str">
        <f>IF(A103="","",IF(AND(G103&lt;&gt;"Completed",OR(G103="Blocked",AND(TRIM(P103)&lt;&gt;"",P103&lt;&gt;"None"))),ROW(),""))</f>
        <v/>
      </c>
      <c r="AC103" t="str">
        <f>IF(A103="","",IF(G103="Completed","Done",IF(G103="Blocked","Blocked",IF(X103="OVERDUE","Overdue",IF(AND(W103&lt;&gt;"",W103&lt;=2),"Due soon",IF(AND(Y103&lt;&gt;"",LEFT(Y103,1)="⏳",G103&lt;&gt;"Not Started"),"Dependency open",IF(AND(S103&lt;&gt;"None",S103&lt;&gt;"",G103&lt;&gt;"Completed"),"External req.","On track")))))))</f>
        <v>On track</v>
      </c>
    </row>
    <row r="104">
      <c r="A104" t="str">
        <v>P6-10</v>
      </c>
      <c r="B104" t="str">
        <v>Phase 6</v>
      </c>
      <c r="C104" t="str">
        <v>SEO</v>
      </c>
      <c r="D104" t="str">
        <v>301 redirect map for changed URLs</v>
      </c>
      <c r="E104" t="str">
        <v>Map any changed URLs (e.g. JNews-specific pages, issue URLs) to new destinations; implement and test.</v>
      </c>
      <c r="F104" t="str">
        <v>P1</v>
      </c>
      <c r="G104" t="str">
        <v>Not Started</v>
      </c>
      <c r="H104">
        <v>46322</v>
      </c>
      <c r="I104">
        <v>46322</v>
      </c>
      <c r="J104">
        <v>0</v>
      </c>
      <c r="K104" t="str">
        <v>P6-08</v>
      </c>
      <c r="L104" t="str">
        <v>Staging (Hostinger)</v>
      </c>
      <c r="M104" t="str">
        <v>inc/redirects.php or Redirection export</v>
      </c>
      <c r="N104" t="str">
        <v>.htaccess / plugin test of each mapping</v>
      </c>
      <c r="O104" t="str">
        <v>All changed URLs 301 to correct targets; no chains</v>
      </c>
      <c r="S104" t="str">
        <v>None</v>
      </c>
      <c r="T104" t="str">
        <v>Not Tested</v>
      </c>
      <c r="U104">
        <f>IF(A104="",0,IF(G104="Completed",1,IF(G104="Not Started",0,MIN(0.99,N(J104)))))</f>
        <v>0</v>
      </c>
      <c r="V104">
        <f>IF(OR(A104="",H104="",I104=""),0,MAX(0,MIN(1,(StatusDate-H104+1)/(I104-H104+1))))</f>
        <v>0</v>
      </c>
      <c r="W104">
        <f>IF(OR(A104="",I104="",G104="Completed"),"",I104-StatusDate)</f>
        <v>16</v>
      </c>
      <c r="X104" t="str">
        <f>IF(A104="","",IF(AND(G104&lt;&gt;"Completed",I104&lt;&gt;"",I104&lt;StatusDate),"OVERDUE",""))</f>
        <v/>
      </c>
      <c r="Y104" t="str">
        <f>IF(OR(A104="",K104=""),"",IF(SUMPRODUCT(($A$6:$A$400&lt;&gt;"")*ISNUMBER(SEARCH($A$6:$A$400,K104))*($G$6:$G$400&lt;&gt;"Completed"))=0,"✓ Ready","⏳ "&amp;SUMPRODUCT(($A$6:$A$400&lt;&gt;"")*ISNUMBER(SEARCH($A$6:$A$400,K104))*($G$6:$G$400&lt;&gt;"Completed"))&amp;" open"))</f>
        <v>⏳ 1 open</v>
      </c>
      <c r="Z104" t="str">
        <f>IF(A104="","",B104&amp;"|"&amp;COUNTIFS($B$6:B104,B104,$A$6:A104,"?*"))</f>
        <v>Phase 6|10</v>
      </c>
      <c r="AA104">
        <f>IF(OR(A104="",I104="",G104="Completed"),"",IF(I104&gt;=StatusDate,I104+ROW()/100000,""))</f>
        <v>46322.00104</v>
      </c>
      <c r="AB104" t="str">
        <f>IF(A104="","",IF(AND(G104&lt;&gt;"Completed",OR(G104="Blocked",AND(TRIM(P104)&lt;&gt;"",P104&lt;&gt;"None"))),ROW(),""))</f>
        <v/>
      </c>
      <c r="AC104" t="str">
        <f>IF(A104="","",IF(G104="Completed","Done",IF(G104="Blocked","Blocked",IF(X104="OVERDUE","Overdue",IF(AND(W104&lt;&gt;"",W104&lt;=2),"Due soon",IF(AND(Y104&lt;&gt;"",LEFT(Y104,1)="⏳",G104&lt;&gt;"Not Started"),"Dependency open",IF(AND(S104&lt;&gt;"None",S104&lt;&gt;"",G104&lt;&gt;"Completed"),"External req.","On track")))))))</f>
        <v>On track</v>
      </c>
    </row>
    <row r="105">
      <c r="A105" t="str">
        <v>P6-11</v>
      </c>
      <c r="B105" t="str">
        <v>Phase 6</v>
      </c>
      <c r="C105" t="str">
        <v>Performance</v>
      </c>
      <c r="D105" t="str">
        <v>Performance optimization (Core Web Vitals)</v>
      </c>
      <c r="E105" t="str">
        <v>Critical CSS, font preload, image sizes, query counts, defer non-critical JS; targets LCP &lt; 2.5 s, CLS &lt; 0.1, INP &lt; 200 ms on mobile.</v>
      </c>
      <c r="F105" t="str">
        <v>P0</v>
      </c>
      <c r="G105" t="str">
        <v>Not Started</v>
      </c>
      <c r="H105">
        <v>46322</v>
      </c>
      <c r="I105">
        <v>46323</v>
      </c>
      <c r="J105">
        <v>0</v>
      </c>
      <c r="K105" t="str">
        <v>P2-24, P3-16, P4-12</v>
      </c>
      <c r="L105" t="str">
        <v>Staging (Hostinger)</v>
      </c>
      <c r="M105" t="str">
        <v>inc/enqueue.php, assets/*</v>
      </c>
      <c r="N105" t="str">
        <v>Lighthouse/PageSpeed on homepage, article, category, issue</v>
      </c>
      <c r="O105" t="str">
        <v>Key templates meet Core Web Vitals targets on mobile</v>
      </c>
      <c r="S105" t="str">
        <v>None</v>
      </c>
      <c r="T105" t="str">
        <v>Not Tested</v>
      </c>
      <c r="U105">
        <f>IF(A105="",0,IF(G105="Completed",1,IF(G105="Not Started",0,MIN(0.99,N(J105)))))</f>
        <v>0</v>
      </c>
      <c r="V105">
        <f>IF(OR(A105="",H105="",I105=""),0,MAX(0,MIN(1,(StatusDate-H105+1)/(I105-H105+1))))</f>
        <v>0</v>
      </c>
      <c r="W105">
        <f>IF(OR(A105="",I105="",G105="Completed"),"",I105-StatusDate)</f>
        <v>17</v>
      </c>
      <c r="X105" t="str">
        <f>IF(A105="","",IF(AND(G105&lt;&gt;"Completed",I105&lt;&gt;"",I105&lt;StatusDate),"OVERDUE",""))</f>
        <v/>
      </c>
      <c r="Y105" t="str">
        <f>IF(OR(A105="",K105=""),"",IF(SUMPRODUCT(($A$6:$A$400&lt;&gt;"")*ISNUMBER(SEARCH($A$6:$A$400,K105))*($G$6:$G$400&lt;&gt;"Completed"))=0,"✓ Ready","⏳ "&amp;SUMPRODUCT(($A$6:$A$400&lt;&gt;"")*ISNUMBER(SEARCH($A$6:$A$400,K105))*($G$6:$G$400&lt;&gt;"Completed"))&amp;" open"))</f>
        <v>⏳ 3 open</v>
      </c>
      <c r="Z105" t="str">
        <f>IF(A105="","",B105&amp;"|"&amp;COUNTIFS($B$6:B105,B105,$A$6:A105,"?*"))</f>
        <v>Phase 6|11</v>
      </c>
      <c r="AA105">
        <f>IF(OR(A105="",I105="",G105="Completed"),"",IF(I105&gt;=StatusDate,I105+ROW()/100000,""))</f>
        <v>46323.00105</v>
      </c>
      <c r="AB105" t="str">
        <f>IF(A105="","",IF(AND(G105&lt;&gt;"Completed",OR(G105="Blocked",AND(TRIM(P105)&lt;&gt;"",P105&lt;&gt;"None"))),ROW(),""))</f>
        <v/>
      </c>
      <c r="AC105" t="str">
        <f>IF(A105="","",IF(G105="Completed","Done",IF(G105="Blocked","Blocked",IF(X105="OVERDUE","Overdue",IF(AND(W105&lt;&gt;"",W105&lt;=2),"Due soon",IF(AND(Y105&lt;&gt;"",LEFT(Y105,1)="⏳",G105&lt;&gt;"Not Started"),"Dependency open",IF(AND(S105&lt;&gt;"None",S105&lt;&gt;"",G105&lt;&gt;"Completed"),"External req.","On track")))))))</f>
        <v>On track</v>
      </c>
    </row>
    <row r="106">
      <c r="A106" t="str">
        <v>P6-12</v>
      </c>
      <c r="B106" t="str">
        <v>Phase 6</v>
      </c>
      <c r="C106" t="str">
        <v>Caching</v>
      </c>
      <c r="D106" t="str">
        <v>LiteSpeed Cache configuration</v>
      </c>
      <c r="E106" t="str">
        <v>Page cache, object cache (if available), browser cache, CSS/JS minify compatible with theme, image optimization; exclude login/account/checkout/webhook URLs; purge rules for publish.</v>
      </c>
      <c r="F106" t="str">
        <v>P0</v>
      </c>
      <c r="G106" t="str">
        <v>Not Started</v>
      </c>
      <c r="H106">
        <v>46323</v>
      </c>
      <c r="I106">
        <v>46323</v>
      </c>
      <c r="J106">
        <v>0</v>
      </c>
      <c r="K106" t="str">
        <v>P6-11, P2-08</v>
      </c>
      <c r="L106" t="str">
        <v>Staging (Hostinger)</v>
      </c>
      <c r="M106" t="str">
        <v>LiteSpeed Cache settings</v>
      </c>
      <c r="N106" t="str">
        <v>Logged-in vs guest caching; checkout not cached; purge on publish</v>
      </c>
      <c r="O106" t="str">
        <v>Fast cached pages with no cached private content</v>
      </c>
      <c r="S106" t="str">
        <v>Server Access</v>
      </c>
      <c r="T106" t="str">
        <v>Not Tested</v>
      </c>
      <c r="U106">
        <f>IF(A106="",0,IF(G106="Completed",1,IF(G106="Not Started",0,MIN(0.99,N(J106)))))</f>
        <v>0</v>
      </c>
      <c r="V106">
        <f>IF(OR(A106="",H106="",I106=""),0,MAX(0,MIN(1,(StatusDate-H106+1)/(I106-H106+1))))</f>
        <v>0</v>
      </c>
      <c r="W106">
        <f>IF(OR(A106="",I106="",G106="Completed"),"",I106-StatusDate)</f>
        <v>17</v>
      </c>
      <c r="X106" t="str">
        <f>IF(A106="","",IF(AND(G106&lt;&gt;"Completed",I106&lt;&gt;"",I106&lt;StatusDate),"OVERDUE",""))</f>
        <v/>
      </c>
      <c r="Y106" t="str">
        <f>IF(OR(A106="",K106=""),"",IF(SUMPRODUCT(($A$6:$A$400&lt;&gt;"")*ISNUMBER(SEARCH($A$6:$A$400,K106))*($G$6:$G$400&lt;&gt;"Completed"))=0,"✓ Ready","⏳ "&amp;SUMPRODUCT(($A$6:$A$400&lt;&gt;"")*ISNUMBER(SEARCH($A$6:$A$400,K106))*($G$6:$G$400&lt;&gt;"Completed"))&amp;" open"))</f>
        <v>⏳ 2 open</v>
      </c>
      <c r="Z106" t="str">
        <f>IF(A106="","",B106&amp;"|"&amp;COUNTIFS($B$6:B106,B106,$A$6:A106,"?*"))</f>
        <v>Phase 6|12</v>
      </c>
      <c r="AA106">
        <f>IF(OR(A106="",I106="",G106="Completed"),"",IF(I106&gt;=StatusDate,I106+ROW()/100000,""))</f>
        <v>46323.00106</v>
      </c>
      <c r="AB106" t="str">
        <f>IF(A106="","",IF(AND(G106&lt;&gt;"Completed",OR(G106="Blocked",AND(TRIM(P106)&lt;&gt;"",P106&lt;&gt;"None"))),ROW(),""))</f>
        <v/>
      </c>
      <c r="AC106" t="str">
        <f>IF(A106="","",IF(G106="Completed","Done",IF(G106="Blocked","Blocked",IF(X106="OVERDUE","Overdue",IF(AND(W106&lt;&gt;"",W106&lt;=2),"Due soon",IF(AND(Y106&lt;&gt;"",LEFT(Y106,1)="⏳",G106&lt;&gt;"Not Started"),"Dependency open",IF(AND(S106&lt;&gt;"None",S106&lt;&gt;"",G106&lt;&gt;"Completed"),"External req.","On track")))))))</f>
        <v>External req.</v>
      </c>
    </row>
    <row r="107">
      <c r="A107" t="str">
        <v>P6-13</v>
      </c>
      <c r="B107" t="str">
        <v>Phase 6</v>
      </c>
      <c r="C107" t="str">
        <v>Testing</v>
      </c>
      <c r="D107" t="str">
        <v>Responsive testing</v>
      </c>
      <c r="E107" t="str">
        <v>Run QA responsive matrix on all nine templates at 360–1440 px and real devices.</v>
      </c>
      <c r="F107" t="str">
        <v>P0</v>
      </c>
      <c r="G107" t="str">
        <v>Not Started</v>
      </c>
      <c r="H107">
        <v>46323</v>
      </c>
      <c r="I107">
        <v>46323</v>
      </c>
      <c r="J107">
        <v>0</v>
      </c>
      <c r="K107" t="str">
        <v>P6-11</v>
      </c>
      <c r="L107" t="str">
        <v>Staging (Hostinger)</v>
      </c>
      <c r="M107" t="str">
        <v>—</v>
      </c>
      <c r="N107" t="str">
        <v>QA sheet: Mobile Responsiveness rows</v>
      </c>
      <c r="O107" t="str">
        <v>All templates pass responsive checks</v>
      </c>
      <c r="S107" t="str">
        <v>None</v>
      </c>
      <c r="T107" t="str">
        <v>Not Tested</v>
      </c>
      <c r="U107">
        <f>IF(A107="",0,IF(G107="Completed",1,IF(G107="Not Started",0,MIN(0.99,N(J107)))))</f>
        <v>0</v>
      </c>
      <c r="V107">
        <f>IF(OR(A107="",H107="",I107=""),0,MAX(0,MIN(1,(StatusDate-H107+1)/(I107-H107+1))))</f>
        <v>0</v>
      </c>
      <c r="W107">
        <f>IF(OR(A107="",I107="",G107="Completed"),"",I107-StatusDate)</f>
        <v>17</v>
      </c>
      <c r="X107" t="str">
        <f>IF(A107="","",IF(AND(G107&lt;&gt;"Completed",I107&lt;&gt;"",I107&lt;StatusDate),"OVERDUE",""))</f>
        <v/>
      </c>
      <c r="Y107" t="str">
        <f>IF(OR(A107="",K107=""),"",IF(SUMPRODUCT(($A$6:$A$400&lt;&gt;"")*ISNUMBER(SEARCH($A$6:$A$400,K107))*($G$6:$G$400&lt;&gt;"Completed"))=0,"✓ Ready","⏳ "&amp;SUMPRODUCT(($A$6:$A$400&lt;&gt;"")*ISNUMBER(SEARCH($A$6:$A$400,K107))*($G$6:$G$400&lt;&gt;"Completed"))&amp;" open"))</f>
        <v>⏳ 1 open</v>
      </c>
      <c r="Z107" t="str">
        <f>IF(A107="","",B107&amp;"|"&amp;COUNTIFS($B$6:B107,B107,$A$6:A107,"?*"))</f>
        <v>Phase 6|13</v>
      </c>
      <c r="AA107">
        <f>IF(OR(A107="",I107="",G107="Completed"),"",IF(I107&gt;=StatusDate,I107+ROW()/100000,""))</f>
        <v>46323.00107</v>
      </c>
      <c r="AB107" t="str">
        <f>IF(A107="","",IF(AND(G107&lt;&gt;"Completed",OR(G107="Blocked",AND(TRIM(P107)&lt;&gt;"",P107&lt;&gt;"None"))),ROW(),""))</f>
        <v/>
      </c>
      <c r="AC107" t="str">
        <f>IF(A107="","",IF(G107="Completed","Done",IF(G107="Blocked","Blocked",IF(X107="OVERDUE","Overdue",IF(AND(W107&lt;&gt;"",W107&lt;=2),"Due soon",IF(AND(Y107&lt;&gt;"",LEFT(Y107,1)="⏳",G107&lt;&gt;"Not Started"),"Dependency open",IF(AND(S107&lt;&gt;"None",S107&lt;&gt;"",G107&lt;&gt;"Completed"),"External req.","On track")))))))</f>
        <v>On track</v>
      </c>
    </row>
    <row r="108">
      <c r="A108" t="str">
        <v>P6-14</v>
      </c>
      <c r="B108" t="str">
        <v>Phase 6</v>
      </c>
      <c r="C108" t="str">
        <v>Testing</v>
      </c>
      <c r="D108" t="str">
        <v>Cross-browser testing</v>
      </c>
      <c r="E108" t="str">
        <v>Chrome, Safari (macOS/iOS), Firefox, Edge, Samsung Internet.</v>
      </c>
      <c r="F108" t="str">
        <v>P0</v>
      </c>
      <c r="G108" t="str">
        <v>Not Started</v>
      </c>
      <c r="H108">
        <v>46323</v>
      </c>
      <c r="I108">
        <v>46324</v>
      </c>
      <c r="J108">
        <v>0</v>
      </c>
      <c r="K108" t="str">
        <v>P6-13</v>
      </c>
      <c r="L108" t="str">
        <v>Staging (Hostinger)</v>
      </c>
      <c r="M108" t="str">
        <v>—</v>
      </c>
      <c r="N108" t="str">
        <v>QA sheet: Browser Compatibility rows</v>
      </c>
      <c r="O108" t="str">
        <v>No blocking issues in supported browsers</v>
      </c>
      <c r="S108" t="str">
        <v>None</v>
      </c>
      <c r="T108" t="str">
        <v>Not Tested</v>
      </c>
      <c r="U108">
        <f>IF(A108="",0,IF(G108="Completed",1,IF(G108="Not Started",0,MIN(0.99,N(J108)))))</f>
        <v>0</v>
      </c>
      <c r="V108">
        <f>IF(OR(A108="",H108="",I108=""),0,MAX(0,MIN(1,(StatusDate-H108+1)/(I108-H108+1))))</f>
        <v>0</v>
      </c>
      <c r="W108">
        <f>IF(OR(A108="",I108="",G108="Completed"),"",I108-StatusDate)</f>
        <v>18</v>
      </c>
      <c r="X108" t="str">
        <f>IF(A108="","",IF(AND(G108&lt;&gt;"Completed",I108&lt;&gt;"",I108&lt;StatusDate),"OVERDUE",""))</f>
        <v/>
      </c>
      <c r="Y108" t="str">
        <f>IF(OR(A108="",K108=""),"",IF(SUMPRODUCT(($A$6:$A$400&lt;&gt;"")*ISNUMBER(SEARCH($A$6:$A$400,K108))*($G$6:$G$400&lt;&gt;"Completed"))=0,"✓ Ready","⏳ "&amp;SUMPRODUCT(($A$6:$A$400&lt;&gt;"")*ISNUMBER(SEARCH($A$6:$A$400,K108))*($G$6:$G$400&lt;&gt;"Completed"))&amp;" open"))</f>
        <v>⏳ 1 open</v>
      </c>
      <c r="Z108" t="str">
        <f>IF(A108="","",B108&amp;"|"&amp;COUNTIFS($B$6:B108,B108,$A$6:A108,"?*"))</f>
        <v>Phase 6|14</v>
      </c>
      <c r="AA108">
        <f>IF(OR(A108="",I108="",G108="Completed"),"",IF(I108&gt;=StatusDate,I108+ROW()/100000,""))</f>
        <v>46324.00108</v>
      </c>
      <c r="AB108" t="str">
        <f>IF(A108="","",IF(AND(G108&lt;&gt;"Completed",OR(G108="Blocked",AND(TRIM(P108)&lt;&gt;"",P108&lt;&gt;"None"))),ROW(),""))</f>
        <v/>
      </c>
      <c r="AC108" t="str">
        <f>IF(A108="","",IF(G108="Completed","Done",IF(G108="Blocked","Blocked",IF(X108="OVERDUE","Overdue",IF(AND(W108&lt;&gt;"",W108&lt;=2),"Due soon",IF(AND(Y108&lt;&gt;"",LEFT(Y108,1)="⏳",G108&lt;&gt;"Not Started"),"Dependency open",IF(AND(S108&lt;&gt;"None",S108&lt;&gt;"",G108&lt;&gt;"Completed"),"External req.","On track")))))))</f>
        <v>On track</v>
      </c>
    </row>
    <row r="109">
      <c r="A109" t="str">
        <v>P6-15</v>
      </c>
      <c r="B109" t="str">
        <v>Phase 6</v>
      </c>
      <c r="C109" t="str">
        <v>Security</v>
      </c>
      <c r="D109" t="str">
        <v>Security verification</v>
      </c>
      <c r="E109" t="str">
        <v>File permissions, disable file editing, XML-RPC policy, user enumeration, security headers, plugin updates, nonce/escaping audit, admin accounts review.</v>
      </c>
      <c r="F109" t="str">
        <v>P0</v>
      </c>
      <c r="G109" t="str">
        <v>Not Started</v>
      </c>
      <c r="H109">
        <v>46324</v>
      </c>
      <c r="I109">
        <v>46324</v>
      </c>
      <c r="J109">
        <v>0</v>
      </c>
      <c r="K109" t="str">
        <v>P5-12</v>
      </c>
      <c r="L109" t="str">
        <v>Staging + Production</v>
      </c>
      <c r="M109" t="str">
        <v>wp-config.php, .htaccess</v>
      </c>
      <c r="N109" t="str">
        <v>QA sheet: Security rows; header scan</v>
      </c>
      <c r="O109" t="str">
        <v>No high-severity findings open</v>
      </c>
      <c r="S109" t="str">
        <v>Server Access</v>
      </c>
      <c r="T109" t="str">
        <v>Not Tested</v>
      </c>
      <c r="U109">
        <f>IF(A109="",0,IF(G109="Completed",1,IF(G109="Not Started",0,MIN(0.99,N(J109)))))</f>
        <v>0</v>
      </c>
      <c r="V109">
        <f>IF(OR(A109="",H109="",I109=""),0,MAX(0,MIN(1,(StatusDate-H109+1)/(I109-H109+1))))</f>
        <v>0</v>
      </c>
      <c r="W109">
        <f>IF(OR(A109="",I109="",G109="Completed"),"",I109-StatusDate)</f>
        <v>18</v>
      </c>
      <c r="X109" t="str">
        <f>IF(A109="","",IF(AND(G109&lt;&gt;"Completed",I109&lt;&gt;"",I109&lt;StatusDate),"OVERDUE",""))</f>
        <v/>
      </c>
      <c r="Y109" t="str">
        <f>IF(OR(A109="",K109=""),"",IF(SUMPRODUCT(($A$6:$A$400&lt;&gt;"")*ISNUMBER(SEARCH($A$6:$A$400,K109))*($G$6:$G$400&lt;&gt;"Completed"))=0,"✓ Ready","⏳ "&amp;SUMPRODUCT(($A$6:$A$400&lt;&gt;"")*ISNUMBER(SEARCH($A$6:$A$400,K109))*($G$6:$G$400&lt;&gt;"Completed"))&amp;" open"))</f>
        <v>⏳ 1 open</v>
      </c>
      <c r="Z109" t="str">
        <f>IF(A109="","",B109&amp;"|"&amp;COUNTIFS($B$6:B109,B109,$A$6:A109,"?*"))</f>
        <v>Phase 6|15</v>
      </c>
      <c r="AA109">
        <f>IF(OR(A109="",I109="",G109="Completed"),"",IF(I109&gt;=StatusDate,I109+ROW()/100000,""))</f>
        <v>46324.00109</v>
      </c>
      <c r="AB109" t="str">
        <f>IF(A109="","",IF(AND(G109&lt;&gt;"Completed",OR(G109="Blocked",AND(TRIM(P109)&lt;&gt;"",P109&lt;&gt;"None"))),ROW(),""))</f>
        <v/>
      </c>
      <c r="AC109" t="str">
        <f>IF(A109="","",IF(G109="Completed","Done",IF(G109="Blocked","Blocked",IF(X109="OVERDUE","Overdue",IF(AND(W109&lt;&gt;"",W109&lt;=2),"Due soon",IF(AND(Y109&lt;&gt;"",LEFT(Y109,1)="⏳",G109&lt;&gt;"Not Started"),"Dependency open",IF(AND(S109&lt;&gt;"None",S109&lt;&gt;"",G109&lt;&gt;"Completed"),"External req.","On track")))))))</f>
        <v>External req.</v>
      </c>
    </row>
    <row r="110">
      <c r="A110" t="str">
        <v>P6-16</v>
      </c>
      <c r="B110" t="str">
        <v>Phase 6</v>
      </c>
      <c r="C110" t="str">
        <v>Testing</v>
      </c>
      <c r="D110" t="str">
        <v>Full QA regression run</v>
      </c>
      <c r="E110" t="str">
        <v>Execute every row in the QA &amp; Testing sheet; log defects.</v>
      </c>
      <c r="F110" t="str">
        <v>P0</v>
      </c>
      <c r="G110" t="str">
        <v>Not Started</v>
      </c>
      <c r="H110">
        <v>46324</v>
      </c>
      <c r="I110">
        <v>46325</v>
      </c>
      <c r="J110">
        <v>0</v>
      </c>
      <c r="K110" t="str">
        <v>P6-13, P6-14</v>
      </c>
      <c r="L110" t="str">
        <v>Staging (Hostinger)</v>
      </c>
      <c r="M110" t="str">
        <v>—</v>
      </c>
      <c r="N110" t="str">
        <v>QA sheet completion = 100%</v>
      </c>
      <c r="O110" t="str">
        <v>All P0 test cases pass</v>
      </c>
      <c r="S110" t="str">
        <v>None</v>
      </c>
      <c r="T110" t="str">
        <v>Not Tested</v>
      </c>
      <c r="U110">
        <f>IF(A110="",0,IF(G110="Completed",1,IF(G110="Not Started",0,MIN(0.99,N(J110)))))</f>
        <v>0</v>
      </c>
      <c r="V110">
        <f>IF(OR(A110="",H110="",I110=""),0,MAX(0,MIN(1,(StatusDate-H110+1)/(I110-H110+1))))</f>
        <v>0</v>
      </c>
      <c r="W110">
        <f>IF(OR(A110="",I110="",G110="Completed"),"",I110-StatusDate)</f>
        <v>19</v>
      </c>
      <c r="X110" t="str">
        <f>IF(A110="","",IF(AND(G110&lt;&gt;"Completed",I110&lt;&gt;"",I110&lt;StatusDate),"OVERDUE",""))</f>
        <v/>
      </c>
      <c r="Y110" t="str">
        <f>IF(OR(A110="",K110=""),"",IF(SUMPRODUCT(($A$6:$A$400&lt;&gt;"")*ISNUMBER(SEARCH($A$6:$A$400,K110))*($G$6:$G$400&lt;&gt;"Completed"))=0,"✓ Ready","⏳ "&amp;SUMPRODUCT(($A$6:$A$400&lt;&gt;"")*ISNUMBER(SEARCH($A$6:$A$400,K110))*($G$6:$G$400&lt;&gt;"Completed"))&amp;" open"))</f>
        <v>⏳ 2 open</v>
      </c>
      <c r="Z110" t="str">
        <f>IF(A110="","",B110&amp;"|"&amp;COUNTIFS($B$6:B110,B110,$A$6:A110,"?*"))</f>
        <v>Phase 6|16</v>
      </c>
      <c r="AA110">
        <f>IF(OR(A110="",I110="",G110="Completed"),"",IF(I110&gt;=StatusDate,I110+ROW()/100000,""))</f>
        <v>46325.0011</v>
      </c>
      <c r="AB110" t="str">
        <f>IF(A110="","",IF(AND(G110&lt;&gt;"Completed",OR(G110="Blocked",AND(TRIM(P110)&lt;&gt;"",P110&lt;&gt;"None"))),ROW(),""))</f>
        <v/>
      </c>
      <c r="AC110" t="str">
        <f>IF(A110="","",IF(G110="Completed","Done",IF(G110="Blocked","Blocked",IF(X110="OVERDUE","Overdue",IF(AND(W110&lt;&gt;"",W110&lt;=2),"Due soon",IF(AND(Y110&lt;&gt;"",LEFT(Y110,1)="⏳",G110&lt;&gt;"Not Started"),"Dependency open",IF(AND(S110&lt;&gt;"None",S110&lt;&gt;"",G110&lt;&gt;"Completed"),"External req.","On track")))))))</f>
        <v>On track</v>
      </c>
    </row>
    <row r="111">
      <c r="A111" t="str">
        <v>P6-17</v>
      </c>
      <c r="B111" t="str">
        <v>Phase 6</v>
      </c>
      <c r="C111" t="str">
        <v>Bug Fixing</v>
      </c>
      <c r="D111" t="str">
        <v>Defect fixing buffer</v>
      </c>
      <c r="E111" t="str">
        <v>Reserved time to fix defects from QA and client UAT.</v>
      </c>
      <c r="F111" t="str">
        <v>P0</v>
      </c>
      <c r="G111" t="str">
        <v>Not Started</v>
      </c>
      <c r="H111">
        <v>46325</v>
      </c>
      <c r="I111">
        <v>46326</v>
      </c>
      <c r="J111">
        <v>0</v>
      </c>
      <c r="K111" t="str">
        <v>P6-16</v>
      </c>
      <c r="L111" t="str">
        <v>Staging (Hostinger)</v>
      </c>
      <c r="M111" t="str">
        <v>—</v>
      </c>
      <c r="N111" t="str">
        <v>Re-test fixed defects</v>
      </c>
      <c r="O111" t="str">
        <v>No open P0/P1 defects</v>
      </c>
      <c r="S111" t="str">
        <v>None</v>
      </c>
      <c r="T111" t="str">
        <v>Not Tested</v>
      </c>
      <c r="U111">
        <f>IF(A111="",0,IF(G111="Completed",1,IF(G111="Not Started",0,MIN(0.99,N(J111)))))</f>
        <v>0</v>
      </c>
      <c r="V111">
        <f>IF(OR(A111="",H111="",I111=""),0,MAX(0,MIN(1,(StatusDate-H111+1)/(I111-H111+1))))</f>
        <v>0</v>
      </c>
      <c r="W111">
        <f>IF(OR(A111="",I111="",G111="Completed"),"",I111-StatusDate)</f>
        <v>20</v>
      </c>
      <c r="X111" t="str">
        <f>IF(A111="","",IF(AND(G111&lt;&gt;"Completed",I111&lt;&gt;"",I111&lt;StatusDate),"OVERDUE",""))</f>
        <v/>
      </c>
      <c r="Y111" t="str">
        <f>IF(OR(A111="",K111=""),"",IF(SUMPRODUCT(($A$6:$A$400&lt;&gt;"")*ISNUMBER(SEARCH($A$6:$A$400,K111))*($G$6:$G$400&lt;&gt;"Completed"))=0,"✓ Ready","⏳ "&amp;SUMPRODUCT(($A$6:$A$400&lt;&gt;"")*ISNUMBER(SEARCH($A$6:$A$400,K111))*($G$6:$G$400&lt;&gt;"Completed"))&amp;" open"))</f>
        <v>⏳ 1 open</v>
      </c>
      <c r="Z111" t="str">
        <f>IF(A111="","",B111&amp;"|"&amp;COUNTIFS($B$6:B111,B111,$A$6:A111,"?*"))</f>
        <v>Phase 6|17</v>
      </c>
      <c r="AA111">
        <f>IF(OR(A111="",I111="",G111="Completed"),"",IF(I111&gt;=StatusDate,I111+ROW()/100000,""))</f>
        <v>46326.00111</v>
      </c>
      <c r="AB111" t="str">
        <f>IF(A111="","",IF(AND(G111&lt;&gt;"Completed",OR(G111="Blocked",AND(TRIM(P111)&lt;&gt;"",P111&lt;&gt;"None"))),ROW(),""))</f>
        <v/>
      </c>
      <c r="AC111" t="str">
        <f>IF(A111="","",IF(G111="Completed","Done",IF(G111="Blocked","Blocked",IF(X111="OVERDUE","Overdue",IF(AND(W111&lt;&gt;"",W111&lt;=2),"Due soon",IF(AND(Y111&lt;&gt;"",LEFT(Y111,1)="⏳",G111&lt;&gt;"Not Started"),"Dependency open",IF(AND(S111&lt;&gt;"None",S111&lt;&gt;"",G111&lt;&gt;"Completed"),"External req.","On track")))))))</f>
        <v>On track</v>
      </c>
    </row>
    <row r="112">
      <c r="A112" t="str">
        <v>P6-18</v>
      </c>
      <c r="B112" t="str">
        <v>Phase 6</v>
      </c>
      <c r="C112" t="str">
        <v>Readiness</v>
      </c>
      <c r="D112" t="str">
        <v>Deployment readiness review &amp; client UAT sign-off</v>
      </c>
      <c r="E112" t="str">
        <v>Walk client through staging; obtain written approval; confirm live payment approval, credentials for production domain, content freeze window.</v>
      </c>
      <c r="F112" t="str">
        <v>P0</v>
      </c>
      <c r="G112" t="str">
        <v>Not Started</v>
      </c>
      <c r="H112">
        <v>46326</v>
      </c>
      <c r="I112">
        <v>46326</v>
      </c>
      <c r="J112">
        <v>0</v>
      </c>
      <c r="K112" t="str">
        <v>P6-17</v>
      </c>
      <c r="L112" t="str">
        <v>Staging (Hostinger)</v>
      </c>
      <c r="M112" t="str">
        <v>—</v>
      </c>
      <c r="N112" t="str">
        <v>Deployment sheet stage 1 complete</v>
      </c>
      <c r="O112" t="str">
        <v>Written client approval to deploy</v>
      </c>
      <c r="S112" t="str">
        <v>None</v>
      </c>
      <c r="T112" t="str">
        <v>Not Tested</v>
      </c>
      <c r="U112">
        <f>IF(A112="",0,IF(G112="Completed",1,IF(G112="Not Started",0,MIN(0.99,N(J112)))))</f>
        <v>0</v>
      </c>
      <c r="V112">
        <f>IF(OR(A112="",H112="",I112=""),0,MAX(0,MIN(1,(StatusDate-H112+1)/(I112-H112+1))))</f>
        <v>0</v>
      </c>
      <c r="W112">
        <f>IF(OR(A112="",I112="",G112="Completed"),"",I112-StatusDate)</f>
        <v>20</v>
      </c>
      <c r="X112" t="str">
        <f>IF(A112="","",IF(AND(G112&lt;&gt;"Completed",I112&lt;&gt;"",I112&lt;StatusDate),"OVERDUE",""))</f>
        <v/>
      </c>
      <c r="Y112" t="str">
        <f>IF(OR(A112="",K112=""),"",IF(SUMPRODUCT(($A$6:$A$400&lt;&gt;"")*ISNUMBER(SEARCH($A$6:$A$400,K112))*($G$6:$G$400&lt;&gt;"Completed"))=0,"✓ Ready","⏳ "&amp;SUMPRODUCT(($A$6:$A$400&lt;&gt;"")*ISNUMBER(SEARCH($A$6:$A$400,K112))*($G$6:$G$400&lt;&gt;"Completed"))&amp;" open"))</f>
        <v>⏳ 1 open</v>
      </c>
      <c r="Z112" t="str">
        <f>IF(A112="","",B112&amp;"|"&amp;COUNTIFS($B$6:B112,B112,$A$6:A112,"?*"))</f>
        <v>Phase 6|18</v>
      </c>
      <c r="AA112">
        <f>IF(OR(A112="",I112="",G112="Completed"),"",IF(I112&gt;=StatusDate,I112+ROW()/100000,""))</f>
        <v>46326.00112</v>
      </c>
      <c r="AB112" t="str">
        <f>IF(A112="","",IF(AND(G112&lt;&gt;"Completed",OR(G112="Blocked",AND(TRIM(P112)&lt;&gt;"",P112&lt;&gt;"None"))),ROW(),""))</f>
        <v/>
      </c>
      <c r="AC112" t="str">
        <f>IF(A112="","",IF(G112="Completed","Done",IF(G112="Blocked","Blocked",IF(X112="OVERDUE","Overdue",IF(AND(W112&lt;&gt;"",W112&lt;=2),"Due soon",IF(AND(Y112&lt;&gt;"",LEFT(Y112,1)="⏳",G112&lt;&gt;"Not Started"),"Dependency open",IF(AND(S112&lt;&gt;"None",S112&lt;&gt;"",G112&lt;&gt;"Completed"),"External req.","On track")))))))</f>
        <v>On track</v>
      </c>
    </row>
    <row r="113">
      <c r="A113" t="str">
        <v>P6-19</v>
      </c>
      <c r="B113" t="str">
        <v>Phase 6</v>
      </c>
      <c r="C113" t="str">
        <v>Rollback</v>
      </c>
      <c r="D113" t="str">
        <v>Rollback plan documented &amp; rehearsed</v>
      </c>
      <c r="E113" t="str">
        <v>Rehearse restore of backup + theme switch-back on staging; time it; record in Deployment sheet.</v>
      </c>
      <c r="F113" t="str">
        <v>P0</v>
      </c>
      <c r="G113" t="str">
        <v>Not Started</v>
      </c>
      <c r="H113">
        <v>46326</v>
      </c>
      <c r="I113">
        <v>46326</v>
      </c>
      <c r="J113">
        <v>0</v>
      </c>
      <c r="K113" t="str">
        <v>P6-01</v>
      </c>
      <c r="L113" t="str">
        <v>Staging (Hostinger)</v>
      </c>
      <c r="M113" t="str">
        <v>Deployment &amp; Rollback sheet</v>
      </c>
      <c r="N113" t="str">
        <v>Timed rehearsal</v>
      </c>
      <c r="O113" t="str">
        <v>Rollback achievable within agreed window (target &lt; 30 min)</v>
      </c>
      <c r="S113" t="str">
        <v>Server Access</v>
      </c>
      <c r="T113" t="str">
        <v>Not Tested</v>
      </c>
      <c r="U113">
        <f>IF(A113="",0,IF(G113="Completed",1,IF(G113="Not Started",0,MIN(0.99,N(J113)))))</f>
        <v>0</v>
      </c>
      <c r="V113">
        <f>IF(OR(A113="",H113="",I113=""),0,MAX(0,MIN(1,(StatusDate-H113+1)/(I113-H113+1))))</f>
        <v>0</v>
      </c>
      <c r="W113">
        <f>IF(OR(A113="",I113="",G113="Completed"),"",I113-StatusDate)</f>
        <v>20</v>
      </c>
      <c r="X113" t="str">
        <f>IF(A113="","",IF(AND(G113&lt;&gt;"Completed",I113&lt;&gt;"",I113&lt;StatusDate),"OVERDUE",""))</f>
        <v/>
      </c>
      <c r="Y113" t="str">
        <f>IF(OR(A113="",K113=""),"",IF(SUMPRODUCT(($A$6:$A$400&lt;&gt;"")*ISNUMBER(SEARCH($A$6:$A$400,K113))*($G$6:$G$400&lt;&gt;"Completed"))=0,"✓ Ready","⏳ "&amp;SUMPRODUCT(($A$6:$A$400&lt;&gt;"")*ISNUMBER(SEARCH($A$6:$A$400,K113))*($G$6:$G$400&lt;&gt;"Completed"))&amp;" open"))</f>
        <v>⏳ 1 open</v>
      </c>
      <c r="Z113" t="str">
        <f>IF(A113="","",B113&amp;"|"&amp;COUNTIFS($B$6:B113,B113,$A$6:A113,"?*"))</f>
        <v>Phase 6|19</v>
      </c>
      <c r="AA113">
        <f>IF(OR(A113="",I113="",G113="Completed"),"",IF(I113&gt;=StatusDate,I113+ROW()/100000,""))</f>
        <v>46326.00113</v>
      </c>
      <c r="AB113" t="str">
        <f>IF(A113="","",IF(AND(G113&lt;&gt;"Completed",OR(G113="Blocked",AND(TRIM(P113)&lt;&gt;"",P113&lt;&gt;"None"))),ROW(),""))</f>
        <v/>
      </c>
      <c r="AC113" t="str">
        <f>IF(A113="","",IF(G113="Completed","Done",IF(G113="Blocked","Blocked",IF(X113="OVERDUE","Overdue",IF(AND(W113&lt;&gt;"",W113&lt;=2),"Due soon",IF(AND(Y113&lt;&gt;"",LEFT(Y113,1)="⏳",G113&lt;&gt;"Not Started"),"Dependency open",IF(AND(S113&lt;&gt;"None",S113&lt;&gt;"",G113&lt;&gt;"Completed"),"External req.","On track")))))))</f>
        <v>External req.</v>
      </c>
    </row>
    <row r="114">
      <c r="A114" t="str">
        <v>P6-20</v>
      </c>
      <c r="B114" t="str">
        <v>Phase 6</v>
      </c>
      <c r="C114" t="str">
        <v>Backup</v>
      </c>
      <c r="D114" t="str">
        <v>Fresh pre-cutover production backup</v>
      </c>
      <c r="E114" t="str">
        <v>New full files + DB backup immediately before cutover; verify.</v>
      </c>
      <c r="F114" t="str">
        <v>P0</v>
      </c>
      <c r="G114" t="str">
        <v>Not Started</v>
      </c>
      <c r="H114">
        <v>46326</v>
      </c>
      <c r="I114">
        <v>46326</v>
      </c>
      <c r="J114">
        <v>0</v>
      </c>
      <c r="K114" t="str">
        <v>P6-18</v>
      </c>
      <c r="L114" t="str">
        <v>Production</v>
      </c>
      <c r="M114" t="str">
        <v>backups/ (off-server)</v>
      </c>
      <c r="N114" t="str">
        <v>Checksum + test import</v>
      </c>
      <c r="O114" t="str">
        <v>Verified backup timestamped before cutover</v>
      </c>
      <c r="S114" t="str">
        <v>Server Access</v>
      </c>
      <c r="T114" t="str">
        <v>Not Tested</v>
      </c>
      <c r="U114">
        <f>IF(A114="",0,IF(G114="Completed",1,IF(G114="Not Started",0,MIN(0.99,N(J114)))))</f>
        <v>0</v>
      </c>
      <c r="V114">
        <f>IF(OR(A114="",H114="",I114=""),0,MAX(0,MIN(1,(StatusDate-H114+1)/(I114-H114+1))))</f>
        <v>0</v>
      </c>
      <c r="W114">
        <f>IF(OR(A114="",I114="",G114="Completed"),"",I114-StatusDate)</f>
        <v>20</v>
      </c>
      <c r="X114" t="str">
        <f>IF(A114="","",IF(AND(G114&lt;&gt;"Completed",I114&lt;&gt;"",I114&lt;StatusDate),"OVERDUE",""))</f>
        <v/>
      </c>
      <c r="Y114" t="str">
        <f>IF(OR(A114="",K114=""),"",IF(SUMPRODUCT(($A$6:$A$400&lt;&gt;"")*ISNUMBER(SEARCH($A$6:$A$400,K114))*($G$6:$G$400&lt;&gt;"Completed"))=0,"✓ Ready","⏳ "&amp;SUMPRODUCT(($A$6:$A$400&lt;&gt;"")*ISNUMBER(SEARCH($A$6:$A$400,K114))*($G$6:$G$400&lt;&gt;"Completed"))&amp;" open"))</f>
        <v>⏳ 1 open</v>
      </c>
      <c r="Z114" t="str">
        <f>IF(A114="","",B114&amp;"|"&amp;COUNTIFS($B$6:B114,B114,$A$6:A114,"?*"))</f>
        <v>Phase 6|20</v>
      </c>
      <c r="AA114">
        <f>IF(OR(A114="",I114="",G114="Completed"),"",IF(I114&gt;=StatusDate,I114+ROW()/100000,""))</f>
        <v>46326.00114</v>
      </c>
      <c r="AB114" t="str">
        <f>IF(A114="","",IF(AND(G114&lt;&gt;"Completed",OR(G114="Blocked",AND(TRIM(P114)&lt;&gt;"",P114&lt;&gt;"None"))),ROW(),""))</f>
        <v/>
      </c>
      <c r="AC114" t="str">
        <f>IF(A114="","",IF(G114="Completed","Done",IF(G114="Blocked","Blocked",IF(X114="OVERDUE","Overdue",IF(AND(W114&lt;&gt;"",W114&lt;=2),"Due soon",IF(AND(Y114&lt;&gt;"",LEFT(Y114,1)="⏳",G114&lt;&gt;"Not Started"),"Dependency open",IF(AND(S114&lt;&gt;"None",S114&lt;&gt;"",G114&lt;&gt;"Completed"),"External req.","On track")))))))</f>
        <v>External req.</v>
      </c>
    </row>
    <row r="115">
      <c r="A115" t="str">
        <v>P6-21</v>
      </c>
      <c r="B115" t="str">
        <v>Phase 6</v>
      </c>
      <c r="C115" t="str">
        <v>Cutover</v>
      </c>
      <c r="D115" t="str">
        <v>Production cutover</v>
      </c>
      <c r="E115" t="str">
        <v>Deploy theme &amp; required plugins, migrate issues/settings/Customizer/roles, run approved DB optimizations, activate theme, switch credentials &amp; webhooks to production, purge caches.</v>
      </c>
      <c r="F115" t="str">
        <v>P0</v>
      </c>
      <c r="G115" t="str">
        <v>Not Started</v>
      </c>
      <c r="H115">
        <v>46327</v>
      </c>
      <c r="I115">
        <v>46327</v>
      </c>
      <c r="J115">
        <v>0</v>
      </c>
      <c r="K115" t="str">
        <v>P6-18, P6-19, P6-20</v>
      </c>
      <c r="L115" t="str">
        <v>Production</v>
      </c>
      <c r="M115" t="str">
        <v>theme package, settings exports</v>
      </c>
      <c r="N115" t="str">
        <v>Follow Deployment sheet stages 5–7</v>
      </c>
      <c r="O115" t="str">
        <v>New site live on production with no data loss</v>
      </c>
      <c r="S115" t="str">
        <v>Server Access</v>
      </c>
      <c r="T115" t="str">
        <v>Not Tested</v>
      </c>
      <c r="U115">
        <f>IF(A115="",0,IF(G115="Completed",1,IF(G115="Not Started",0,MIN(0.99,N(J115)))))</f>
        <v>0</v>
      </c>
      <c r="V115">
        <f>IF(OR(A115="",H115="",I115=""),0,MAX(0,MIN(1,(StatusDate-H115+1)/(I115-H115+1))))</f>
        <v>0</v>
      </c>
      <c r="W115">
        <f>IF(OR(A115="",I115="",G115="Completed"),"",I115-StatusDate)</f>
        <v>21</v>
      </c>
      <c r="X115" t="str">
        <f>IF(A115="","",IF(AND(G115&lt;&gt;"Completed",I115&lt;&gt;"",I115&lt;StatusDate),"OVERDUE",""))</f>
        <v/>
      </c>
      <c r="Y115" t="str">
        <f>IF(OR(A115="",K115=""),"",IF(SUMPRODUCT(($A$6:$A$400&lt;&gt;"")*ISNUMBER(SEARCH($A$6:$A$400,K115))*($G$6:$G$400&lt;&gt;"Completed"))=0,"✓ Ready","⏳ "&amp;SUMPRODUCT(($A$6:$A$400&lt;&gt;"")*ISNUMBER(SEARCH($A$6:$A$400,K115))*($G$6:$G$400&lt;&gt;"Completed"))&amp;" open"))</f>
        <v>⏳ 3 open</v>
      </c>
      <c r="Z115" t="str">
        <f>IF(A115="","",B115&amp;"|"&amp;COUNTIFS($B$6:B115,B115,$A$6:A115,"?*"))</f>
        <v>Phase 6|21</v>
      </c>
      <c r="AA115">
        <f>IF(OR(A115="",I115="",G115="Completed"),"",IF(I115&gt;=StatusDate,I115+ROW()/100000,""))</f>
        <v>46327.00115</v>
      </c>
      <c r="AB115" t="str">
        <f>IF(A115="","",IF(AND(G115&lt;&gt;"Completed",OR(G115="Blocked",AND(TRIM(P115)&lt;&gt;"",P115&lt;&gt;"None"))),ROW(),""))</f>
        <v/>
      </c>
      <c r="AC115" t="str">
        <f>IF(A115="","",IF(G115="Completed","Done",IF(G115="Blocked","Blocked",IF(X115="OVERDUE","Overdue",IF(AND(W115&lt;&gt;"",W115&lt;=2),"Due soon",IF(AND(Y115&lt;&gt;"",LEFT(Y115,1)="⏳",G115&lt;&gt;"Not Started"),"Dependency open",IF(AND(S115&lt;&gt;"None",S115&lt;&gt;"",G115&lt;&gt;"Completed"),"External req.","On track")))))))</f>
        <v>External req.</v>
      </c>
    </row>
    <row r="116">
      <c r="A116" t="str">
        <v>P6-22</v>
      </c>
      <c r="B116" t="str">
        <v>Phase 6</v>
      </c>
      <c r="C116" t="str">
        <v>Post-launch</v>
      </c>
      <c r="D116" t="str">
        <v>Post-launch verification &amp; monitoring</v>
      </c>
      <c r="E116" t="str">
        <v>Smoke tests, URL sample crawl, Search Console sitemap resubmit, payments live test, error log and uptime monitoring for 48 h.</v>
      </c>
      <c r="F116" t="str">
        <v>P0</v>
      </c>
      <c r="G116" t="str">
        <v>Not Started</v>
      </c>
      <c r="H116">
        <v>46327</v>
      </c>
      <c r="I116">
        <v>46327</v>
      </c>
      <c r="J116">
        <v>0</v>
      </c>
      <c r="K116" t="str">
        <v>P6-21</v>
      </c>
      <c r="L116" t="str">
        <v>Production</v>
      </c>
      <c r="M116" t="str">
        <v>debug.log, Search Console</v>
      </c>
      <c r="N116" t="str">
        <v>Deployment sheet stage 8–9</v>
      </c>
      <c r="O116" t="str">
        <v>No critical issues in first 48 h</v>
      </c>
      <c r="S116" t="str">
        <v>None</v>
      </c>
      <c r="T116" t="str">
        <v>Not Tested</v>
      </c>
      <c r="U116">
        <f>IF(A116="",0,IF(G116="Completed",1,IF(G116="Not Started",0,MIN(0.99,N(J116)))))</f>
        <v>0</v>
      </c>
      <c r="V116">
        <f>IF(OR(A116="",H116="",I116=""),0,MAX(0,MIN(1,(StatusDate-H116+1)/(I116-H116+1))))</f>
        <v>0</v>
      </c>
      <c r="W116">
        <f>IF(OR(A116="",I116="",G116="Completed"),"",I116-StatusDate)</f>
        <v>21</v>
      </c>
      <c r="X116" t="str">
        <f>IF(A116="","",IF(AND(G116&lt;&gt;"Completed",I116&lt;&gt;"",I116&lt;StatusDate),"OVERDUE",""))</f>
        <v/>
      </c>
      <c r="Y116" t="str">
        <f>IF(OR(A116="",K116=""),"",IF(SUMPRODUCT(($A$6:$A$400&lt;&gt;"")*ISNUMBER(SEARCH($A$6:$A$400,K116))*($G$6:$G$400&lt;&gt;"Completed"))=0,"✓ Ready","⏳ "&amp;SUMPRODUCT(($A$6:$A$400&lt;&gt;"")*ISNUMBER(SEARCH($A$6:$A$400,K116))*($G$6:$G$400&lt;&gt;"Completed"))&amp;" open"))</f>
        <v>⏳ 1 open</v>
      </c>
      <c r="Z116" t="str">
        <f>IF(A116="","",B116&amp;"|"&amp;COUNTIFS($B$6:B116,B116,$A$6:A116,"?*"))</f>
        <v>Phase 6|22</v>
      </c>
      <c r="AA116">
        <f>IF(OR(A116="",I116="",G116="Completed"),"",IF(I116&gt;=StatusDate,I116+ROW()/100000,""))</f>
        <v>46327.00116</v>
      </c>
      <c r="AB116" t="str">
        <f>IF(A116="","",IF(AND(G116&lt;&gt;"Completed",OR(G116="Blocked",AND(TRIM(P116)&lt;&gt;"",P116&lt;&gt;"None"))),ROW(),""))</f>
        <v/>
      </c>
      <c r="AC116" t="str">
        <f>IF(A116="","",IF(G116="Completed","Done",IF(G116="Blocked","Blocked",IF(X116="OVERDUE","Overdue",IF(AND(W116&lt;&gt;"",W116&lt;=2),"Due soon",IF(AND(Y116&lt;&gt;"",LEFT(Y116,1)="⏳",G116&lt;&gt;"Not Started"),"Dependency open",IF(AND(S116&lt;&gt;"None",S116&lt;&gt;"",G116&lt;&gt;"Completed"),"External req.","On track")))))))</f>
        <v>On track</v>
      </c>
    </row>
    <row r="117">
      <c r="U117">
        <f>IF(A117="",0,IF(G117="Completed",1,IF(G117="Not Started",0,MIN(0.99,N(J117)))))</f>
        <v>0</v>
      </c>
      <c r="V117">
        <f>IF(OR(A117="",H117="",I117=""),0,MAX(0,MIN(1,(StatusDate-H117+1)/(I117-H117+1))))</f>
        <v>0</v>
      </c>
      <c r="W117" t="str">
        <f>IF(OR(A117="",I117="",G117="Completed"),"",I117-StatusDate)</f>
        <v/>
      </c>
      <c r="X117" t="str">
        <f>IF(A117="","",IF(AND(G117&lt;&gt;"Completed",I117&lt;&gt;"",I117&lt;StatusDate),"OVERDUE",""))</f>
        <v/>
      </c>
      <c r="Y117" t="str">
        <f>IF(OR(A117="",K117=""),"",IF(SUMPRODUCT(($A$6:$A$400&lt;&gt;"")*ISNUMBER(SEARCH($A$6:$A$400,K117))*($G$6:$G$400&lt;&gt;"Completed"))=0,"✓ Ready","⏳ "&amp;SUMPRODUCT(($A$6:$A$400&lt;&gt;"")*ISNUMBER(SEARCH($A$6:$A$400,K117))*($G$6:$G$400&lt;&gt;"Completed"))&amp;" open"))</f>
        <v/>
      </c>
      <c r="Z117" t="str">
        <f>IF(A117="","",B117&amp;"|"&amp;COUNTIFS($B$6:B117,B117,$A$6:A117,"?*"))</f>
        <v/>
      </c>
      <c r="AA117" t="str">
        <f>IF(OR(A117="",I117="",G117="Completed"),"",IF(I117&gt;=StatusDate,I117+ROW()/100000,""))</f>
        <v/>
      </c>
      <c r="AB117" t="str">
        <f>IF(A117="","",IF(AND(G117&lt;&gt;"Completed",OR(G117="Blocked",AND(TRIM(P117)&lt;&gt;"",P117&lt;&gt;"None"))),ROW(),""))</f>
        <v/>
      </c>
      <c r="AC117" t="str">
        <f>IF(A117="","",IF(G117="Completed","Done",IF(G117="Blocked","Blocked",IF(X117="OVERDUE","Overdue",IF(AND(W117&lt;&gt;"",W117&lt;=2),"Due soon",IF(AND(Y117&lt;&gt;"",LEFT(Y117,1)="⏳",G117&lt;&gt;"Not Started"),"Dependency open",IF(AND(S117&lt;&gt;"None",S117&lt;&gt;"",G117&lt;&gt;"Completed"),"External req.","On track")))))))</f>
        <v/>
      </c>
    </row>
    <row r="118">
      <c r="U118">
        <f>IF(A118="",0,IF(G118="Completed",1,IF(G118="Not Started",0,MIN(0.99,N(J118)))))</f>
        <v>0</v>
      </c>
      <c r="V118">
        <f>IF(OR(A118="",H118="",I118=""),0,MAX(0,MIN(1,(StatusDate-H118+1)/(I118-H118+1))))</f>
        <v>0</v>
      </c>
      <c r="W118" t="str">
        <f>IF(OR(A118="",I118="",G118="Completed"),"",I118-StatusDate)</f>
        <v/>
      </c>
      <c r="X118" t="str">
        <f>IF(A118="","",IF(AND(G118&lt;&gt;"Completed",I118&lt;&gt;"",I118&lt;StatusDate),"OVERDUE",""))</f>
        <v/>
      </c>
      <c r="Y118" t="str">
        <f>IF(OR(A118="",K118=""),"",IF(SUMPRODUCT(($A$6:$A$400&lt;&gt;"")*ISNUMBER(SEARCH($A$6:$A$400,K118))*($G$6:$G$400&lt;&gt;"Completed"))=0,"✓ Ready","⏳ "&amp;SUMPRODUCT(($A$6:$A$400&lt;&gt;"")*ISNUMBER(SEARCH($A$6:$A$400,K118))*($G$6:$G$400&lt;&gt;"Completed"))&amp;" open"))</f>
        <v/>
      </c>
      <c r="Z118" t="str">
        <f>IF(A118="","",B118&amp;"|"&amp;COUNTIFS($B$6:B118,B118,$A$6:A118,"?*"))</f>
        <v/>
      </c>
      <c r="AA118" t="str">
        <f>IF(OR(A118="",I118="",G118="Completed"),"",IF(I118&gt;=StatusDate,I118+ROW()/100000,""))</f>
        <v/>
      </c>
      <c r="AB118" t="str">
        <f>IF(A118="","",IF(AND(G118&lt;&gt;"Completed",OR(G118="Blocked",AND(TRIM(P118)&lt;&gt;"",P118&lt;&gt;"None"))),ROW(),""))</f>
        <v/>
      </c>
      <c r="AC118" t="str">
        <f>IF(A118="","",IF(G118="Completed","Done",IF(G118="Blocked","Blocked",IF(X118="OVERDUE","Overdue",IF(AND(W118&lt;&gt;"",W118&lt;=2),"Due soon",IF(AND(Y118&lt;&gt;"",LEFT(Y118,1)="⏳",G118&lt;&gt;"Not Started"),"Dependency open",IF(AND(S118&lt;&gt;"None",S118&lt;&gt;"",G118&lt;&gt;"Completed"),"External req.","On track")))))))</f>
        <v/>
      </c>
    </row>
    <row r="119">
      <c r="U119">
        <f>IF(A119="",0,IF(G119="Completed",1,IF(G119="Not Started",0,MIN(0.99,N(J119)))))</f>
        <v>0</v>
      </c>
      <c r="V119">
        <f>IF(OR(A119="",H119="",I119=""),0,MAX(0,MIN(1,(StatusDate-H119+1)/(I119-H119+1))))</f>
        <v>0</v>
      </c>
      <c r="W119" t="str">
        <f>IF(OR(A119="",I119="",G119="Completed"),"",I119-StatusDate)</f>
        <v/>
      </c>
      <c r="X119" t="str">
        <f>IF(A119="","",IF(AND(G119&lt;&gt;"Completed",I119&lt;&gt;"",I119&lt;StatusDate),"OVERDUE",""))</f>
        <v/>
      </c>
      <c r="Y119" t="str">
        <f>IF(OR(A119="",K119=""),"",IF(SUMPRODUCT(($A$6:$A$400&lt;&gt;"")*ISNUMBER(SEARCH($A$6:$A$400,K119))*($G$6:$G$400&lt;&gt;"Completed"))=0,"✓ Ready","⏳ "&amp;SUMPRODUCT(($A$6:$A$400&lt;&gt;"")*ISNUMBER(SEARCH($A$6:$A$400,K119))*($G$6:$G$400&lt;&gt;"Completed"))&amp;" open"))</f>
        <v/>
      </c>
      <c r="Z119" t="str">
        <f>IF(A119="","",B119&amp;"|"&amp;COUNTIFS($B$6:B119,B119,$A$6:A119,"?*"))</f>
        <v/>
      </c>
      <c r="AA119" t="str">
        <f>IF(OR(A119="",I119="",G119="Completed"),"",IF(I119&gt;=StatusDate,I119+ROW()/100000,""))</f>
        <v/>
      </c>
      <c r="AB119" t="str">
        <f>IF(A119="","",IF(AND(G119&lt;&gt;"Completed",OR(G119="Blocked",AND(TRIM(P119)&lt;&gt;"",P119&lt;&gt;"None"))),ROW(),""))</f>
        <v/>
      </c>
      <c r="AC119" t="str">
        <f>IF(A119="","",IF(G119="Completed","Done",IF(G119="Blocked","Blocked",IF(X119="OVERDUE","Overdue",IF(AND(W119&lt;&gt;"",W119&lt;=2),"Due soon",IF(AND(Y119&lt;&gt;"",LEFT(Y119,1)="⏳",G119&lt;&gt;"Not Started"),"Dependency open",IF(AND(S119&lt;&gt;"None",S119&lt;&gt;"",G119&lt;&gt;"Completed"),"External req.","On track")))))))</f>
        <v/>
      </c>
    </row>
    <row r="120">
      <c r="U120">
        <f>IF(A120="",0,IF(G120="Completed",1,IF(G120="Not Started",0,MIN(0.99,N(J120)))))</f>
        <v>0</v>
      </c>
      <c r="V120">
        <f>IF(OR(A120="",H120="",I120=""),0,MAX(0,MIN(1,(StatusDate-H120+1)/(I120-H120+1))))</f>
        <v>0</v>
      </c>
      <c r="W120" t="str">
        <f>IF(OR(A120="",I120="",G120="Completed"),"",I120-StatusDate)</f>
        <v/>
      </c>
      <c r="X120" t="str">
        <f>IF(A120="","",IF(AND(G120&lt;&gt;"Completed",I120&lt;&gt;"",I120&lt;StatusDate),"OVERDUE",""))</f>
        <v/>
      </c>
      <c r="Y120" t="str">
        <f>IF(OR(A120="",K120=""),"",IF(SUMPRODUCT(($A$6:$A$400&lt;&gt;"")*ISNUMBER(SEARCH($A$6:$A$400,K120))*($G$6:$G$400&lt;&gt;"Completed"))=0,"✓ Ready","⏳ "&amp;SUMPRODUCT(($A$6:$A$400&lt;&gt;"")*ISNUMBER(SEARCH($A$6:$A$400,K120))*($G$6:$G$400&lt;&gt;"Completed"))&amp;" open"))</f>
        <v/>
      </c>
      <c r="Z120" t="str">
        <f>IF(A120="","",B120&amp;"|"&amp;COUNTIFS($B$6:B120,B120,$A$6:A120,"?*"))</f>
        <v/>
      </c>
      <c r="AA120" t="str">
        <f>IF(OR(A120="",I120="",G120="Completed"),"",IF(I120&gt;=StatusDate,I120+ROW()/100000,""))</f>
        <v/>
      </c>
      <c r="AB120" t="str">
        <f>IF(A120="","",IF(AND(G120&lt;&gt;"Completed",OR(G120="Blocked",AND(TRIM(P120)&lt;&gt;"",P120&lt;&gt;"None"))),ROW(),""))</f>
        <v/>
      </c>
      <c r="AC120" t="str">
        <f>IF(A120="","",IF(G120="Completed","Done",IF(G120="Blocked","Blocked",IF(X120="OVERDUE","Overdue",IF(AND(W120&lt;&gt;"",W120&lt;=2),"Due soon",IF(AND(Y120&lt;&gt;"",LEFT(Y120,1)="⏳",G120&lt;&gt;"Not Started"),"Dependency open",IF(AND(S120&lt;&gt;"None",S120&lt;&gt;"",G120&lt;&gt;"Completed"),"External req.","On track")))))))</f>
        <v/>
      </c>
    </row>
    <row r="121">
      <c r="U121">
        <f>IF(A121="",0,IF(G121="Completed",1,IF(G121="Not Started",0,MIN(0.99,N(J121)))))</f>
        <v>0</v>
      </c>
      <c r="V121">
        <f>IF(OR(A121="",H121="",I121=""),0,MAX(0,MIN(1,(StatusDate-H121+1)/(I121-H121+1))))</f>
        <v>0</v>
      </c>
      <c r="W121" t="str">
        <f>IF(OR(A121="",I121="",G121="Completed"),"",I121-StatusDate)</f>
        <v/>
      </c>
      <c r="X121" t="str">
        <f>IF(A121="","",IF(AND(G121&lt;&gt;"Completed",I121&lt;&gt;"",I121&lt;StatusDate),"OVERDUE",""))</f>
        <v/>
      </c>
      <c r="Y121" t="str">
        <f>IF(OR(A121="",K121=""),"",IF(SUMPRODUCT(($A$6:$A$400&lt;&gt;"")*ISNUMBER(SEARCH($A$6:$A$400,K121))*($G$6:$G$400&lt;&gt;"Completed"))=0,"✓ Ready","⏳ "&amp;SUMPRODUCT(($A$6:$A$400&lt;&gt;"")*ISNUMBER(SEARCH($A$6:$A$400,K121))*($G$6:$G$400&lt;&gt;"Completed"))&amp;" open"))</f>
        <v/>
      </c>
      <c r="Z121" t="str">
        <f>IF(A121="","",B121&amp;"|"&amp;COUNTIFS($B$6:B121,B121,$A$6:A121,"?*"))</f>
        <v/>
      </c>
      <c r="AA121" t="str">
        <f>IF(OR(A121="",I121="",G121="Completed"),"",IF(I121&gt;=StatusDate,I121+ROW()/100000,""))</f>
        <v/>
      </c>
      <c r="AB121" t="str">
        <f>IF(A121="","",IF(AND(G121&lt;&gt;"Completed",OR(G121="Blocked",AND(TRIM(P121)&lt;&gt;"",P121&lt;&gt;"None"))),ROW(),""))</f>
        <v/>
      </c>
      <c r="AC121" t="str">
        <f>IF(A121="","",IF(G121="Completed","Done",IF(G121="Blocked","Blocked",IF(X121="OVERDUE","Overdue",IF(AND(W121&lt;&gt;"",W121&lt;=2),"Due soon",IF(AND(Y121&lt;&gt;"",LEFT(Y121,1)="⏳",G121&lt;&gt;"Not Started"),"Dependency open",IF(AND(S121&lt;&gt;"None",S121&lt;&gt;"",G121&lt;&gt;"Completed"),"External req.","On track")))))))</f>
        <v/>
      </c>
    </row>
    <row r="122">
      <c r="U122">
        <f>IF(A122="",0,IF(G122="Completed",1,IF(G122="Not Started",0,MIN(0.99,N(J122)))))</f>
        <v>0</v>
      </c>
      <c r="V122">
        <f>IF(OR(A122="",H122="",I122=""),0,MAX(0,MIN(1,(StatusDate-H122+1)/(I122-H122+1))))</f>
        <v>0</v>
      </c>
      <c r="W122" t="str">
        <f>IF(OR(A122="",I122="",G122="Completed"),"",I122-StatusDate)</f>
        <v/>
      </c>
      <c r="X122" t="str">
        <f>IF(A122="","",IF(AND(G122&lt;&gt;"Completed",I122&lt;&gt;"",I122&lt;StatusDate),"OVERDUE",""))</f>
        <v/>
      </c>
      <c r="Y122" t="str">
        <f>IF(OR(A122="",K122=""),"",IF(SUMPRODUCT(($A$6:$A$400&lt;&gt;"")*ISNUMBER(SEARCH($A$6:$A$400,K122))*($G$6:$G$400&lt;&gt;"Completed"))=0,"✓ Ready","⏳ "&amp;SUMPRODUCT(($A$6:$A$400&lt;&gt;"")*ISNUMBER(SEARCH($A$6:$A$400,K122))*($G$6:$G$400&lt;&gt;"Completed"))&amp;" open"))</f>
        <v/>
      </c>
      <c r="Z122" t="str">
        <f>IF(A122="","",B122&amp;"|"&amp;COUNTIFS($B$6:B122,B122,$A$6:A122,"?*"))</f>
        <v/>
      </c>
      <c r="AA122" t="str">
        <f>IF(OR(A122="",I122="",G122="Completed"),"",IF(I122&gt;=StatusDate,I122+ROW()/100000,""))</f>
        <v/>
      </c>
      <c r="AB122" t="str">
        <f>IF(A122="","",IF(AND(G122&lt;&gt;"Completed",OR(G122="Blocked",AND(TRIM(P122)&lt;&gt;"",P122&lt;&gt;"None"))),ROW(),""))</f>
        <v/>
      </c>
      <c r="AC122" t="str">
        <f>IF(A122="","",IF(G122="Completed","Done",IF(G122="Blocked","Blocked",IF(X122="OVERDUE","Overdue",IF(AND(W122&lt;&gt;"",W122&lt;=2),"Due soon",IF(AND(Y122&lt;&gt;"",LEFT(Y122,1)="⏳",G122&lt;&gt;"Not Started"),"Dependency open",IF(AND(S122&lt;&gt;"None",S122&lt;&gt;"",G122&lt;&gt;"Completed"),"External req.","On track")))))))</f>
        <v/>
      </c>
    </row>
    <row r="123">
      <c r="U123">
        <f>IF(A123="",0,IF(G123="Completed",1,IF(G123="Not Started",0,MIN(0.99,N(J123)))))</f>
        <v>0</v>
      </c>
      <c r="V123">
        <f>IF(OR(A123="",H123="",I123=""),0,MAX(0,MIN(1,(StatusDate-H123+1)/(I123-H123+1))))</f>
        <v>0</v>
      </c>
      <c r="W123" t="str">
        <f>IF(OR(A123="",I123="",G123="Completed"),"",I123-StatusDate)</f>
        <v/>
      </c>
      <c r="X123" t="str">
        <f>IF(A123="","",IF(AND(G123&lt;&gt;"Completed",I123&lt;&gt;"",I123&lt;StatusDate),"OVERDUE",""))</f>
        <v/>
      </c>
      <c r="Y123" t="str">
        <f>IF(OR(A123="",K123=""),"",IF(SUMPRODUCT(($A$6:$A$400&lt;&gt;"")*ISNUMBER(SEARCH($A$6:$A$400,K123))*($G$6:$G$400&lt;&gt;"Completed"))=0,"✓ Ready","⏳ "&amp;SUMPRODUCT(($A$6:$A$400&lt;&gt;"")*ISNUMBER(SEARCH($A$6:$A$400,K123))*($G$6:$G$400&lt;&gt;"Completed"))&amp;" open"))</f>
        <v/>
      </c>
      <c r="Z123" t="str">
        <f>IF(A123="","",B123&amp;"|"&amp;COUNTIFS($B$6:B123,B123,$A$6:A123,"?*"))</f>
        <v/>
      </c>
      <c r="AA123" t="str">
        <f>IF(OR(A123="",I123="",G123="Completed"),"",IF(I123&gt;=StatusDate,I123+ROW()/100000,""))</f>
        <v/>
      </c>
      <c r="AB123" t="str">
        <f>IF(A123="","",IF(AND(G123&lt;&gt;"Completed",OR(G123="Blocked",AND(TRIM(P123)&lt;&gt;"",P123&lt;&gt;"None"))),ROW(),""))</f>
        <v/>
      </c>
      <c r="AC123" t="str">
        <f>IF(A123="","",IF(G123="Completed","Done",IF(G123="Blocked","Blocked",IF(X123="OVERDUE","Overdue",IF(AND(W123&lt;&gt;"",W123&lt;=2),"Due soon",IF(AND(Y123&lt;&gt;"",LEFT(Y123,1)="⏳",G123&lt;&gt;"Not Started"),"Dependency open",IF(AND(S123&lt;&gt;"None",S123&lt;&gt;"",G123&lt;&gt;"Completed"),"External req.","On track")))))))</f>
        <v/>
      </c>
    </row>
    <row r="124">
      <c r="U124">
        <f>IF(A124="",0,IF(G124="Completed",1,IF(G124="Not Started",0,MIN(0.99,N(J124)))))</f>
        <v>0</v>
      </c>
      <c r="V124">
        <f>IF(OR(A124="",H124="",I124=""),0,MAX(0,MIN(1,(StatusDate-H124+1)/(I124-H124+1))))</f>
        <v>0</v>
      </c>
      <c r="W124" t="str">
        <f>IF(OR(A124="",I124="",G124="Completed"),"",I124-StatusDate)</f>
        <v/>
      </c>
      <c r="X124" t="str">
        <f>IF(A124="","",IF(AND(G124&lt;&gt;"Completed",I124&lt;&gt;"",I124&lt;StatusDate),"OVERDUE",""))</f>
        <v/>
      </c>
      <c r="Y124" t="str">
        <f>IF(OR(A124="",K124=""),"",IF(SUMPRODUCT(($A$6:$A$400&lt;&gt;"")*ISNUMBER(SEARCH($A$6:$A$400,K124))*($G$6:$G$400&lt;&gt;"Completed"))=0,"✓ Ready","⏳ "&amp;SUMPRODUCT(($A$6:$A$400&lt;&gt;"")*ISNUMBER(SEARCH($A$6:$A$400,K124))*($G$6:$G$400&lt;&gt;"Completed"))&amp;" open"))</f>
        <v/>
      </c>
      <c r="Z124" t="str">
        <f>IF(A124="","",B124&amp;"|"&amp;COUNTIFS($B$6:B124,B124,$A$6:A124,"?*"))</f>
        <v/>
      </c>
      <c r="AA124" t="str">
        <f>IF(OR(A124="",I124="",G124="Completed"),"",IF(I124&gt;=StatusDate,I124+ROW()/100000,""))</f>
        <v/>
      </c>
      <c r="AB124" t="str">
        <f>IF(A124="","",IF(AND(G124&lt;&gt;"Completed",OR(G124="Blocked",AND(TRIM(P124)&lt;&gt;"",P124&lt;&gt;"None"))),ROW(),""))</f>
        <v/>
      </c>
      <c r="AC124" t="str">
        <f>IF(A124="","",IF(G124="Completed","Done",IF(G124="Blocked","Blocked",IF(X124="OVERDUE","Overdue",IF(AND(W124&lt;&gt;"",W124&lt;=2),"Due soon",IF(AND(Y124&lt;&gt;"",LEFT(Y124,1)="⏳",G124&lt;&gt;"Not Started"),"Dependency open",IF(AND(S124&lt;&gt;"None",S124&lt;&gt;"",G124&lt;&gt;"Completed"),"External req.","On track")))))))</f>
        <v/>
      </c>
    </row>
    <row r="125">
      <c r="U125">
        <f>IF(A125="",0,IF(G125="Completed",1,IF(G125="Not Started",0,MIN(0.99,N(J125)))))</f>
        <v>0</v>
      </c>
      <c r="V125">
        <f>IF(OR(A125="",H125="",I125=""),0,MAX(0,MIN(1,(StatusDate-H125+1)/(I125-H125+1))))</f>
        <v>0</v>
      </c>
      <c r="W125" t="str">
        <f>IF(OR(A125="",I125="",G125="Completed"),"",I125-StatusDate)</f>
        <v/>
      </c>
      <c r="X125" t="str">
        <f>IF(A125="","",IF(AND(G125&lt;&gt;"Completed",I125&lt;&gt;"",I125&lt;StatusDate),"OVERDUE",""))</f>
        <v/>
      </c>
      <c r="Y125" t="str">
        <f>IF(OR(A125="",K125=""),"",IF(SUMPRODUCT(($A$6:$A$400&lt;&gt;"")*ISNUMBER(SEARCH($A$6:$A$400,K125))*($G$6:$G$400&lt;&gt;"Completed"))=0,"✓ Ready","⏳ "&amp;SUMPRODUCT(($A$6:$A$400&lt;&gt;"")*ISNUMBER(SEARCH($A$6:$A$400,K125))*($G$6:$G$400&lt;&gt;"Completed"))&amp;" open"))</f>
        <v/>
      </c>
      <c r="Z125" t="str">
        <f>IF(A125="","",B125&amp;"|"&amp;COUNTIFS($B$6:B125,B125,$A$6:A125,"?*"))</f>
        <v/>
      </c>
      <c r="AA125" t="str">
        <f>IF(OR(A125="",I125="",G125="Completed"),"",IF(I125&gt;=StatusDate,I125+ROW()/100000,""))</f>
        <v/>
      </c>
      <c r="AB125" t="str">
        <f>IF(A125="","",IF(AND(G125&lt;&gt;"Completed",OR(G125="Blocked",AND(TRIM(P125)&lt;&gt;"",P125&lt;&gt;"None"))),ROW(),""))</f>
        <v/>
      </c>
      <c r="AC125" t="str">
        <f>IF(A125="","",IF(G125="Completed","Done",IF(G125="Blocked","Blocked",IF(X125="OVERDUE","Overdue",IF(AND(W125&lt;&gt;"",W125&lt;=2),"Due soon",IF(AND(Y125&lt;&gt;"",LEFT(Y125,1)="⏳",G125&lt;&gt;"Not Started"),"Dependency open",IF(AND(S125&lt;&gt;"None",S125&lt;&gt;"",G125&lt;&gt;"Completed"),"External req.","On track")))))))</f>
        <v/>
      </c>
    </row>
    <row r="126">
      <c r="U126">
        <f>IF(A126="",0,IF(G126="Completed",1,IF(G126="Not Started",0,MIN(0.99,N(J126)))))</f>
        <v>0</v>
      </c>
      <c r="V126">
        <f>IF(OR(A126="",H126="",I126=""),0,MAX(0,MIN(1,(StatusDate-H126+1)/(I126-H126+1))))</f>
        <v>0</v>
      </c>
      <c r="W126" t="str">
        <f>IF(OR(A126="",I126="",G126="Completed"),"",I126-StatusDate)</f>
        <v/>
      </c>
      <c r="X126" t="str">
        <f>IF(A126="","",IF(AND(G126&lt;&gt;"Completed",I126&lt;&gt;"",I126&lt;StatusDate),"OVERDUE",""))</f>
        <v/>
      </c>
      <c r="Y126" t="str">
        <f>IF(OR(A126="",K126=""),"",IF(SUMPRODUCT(($A$6:$A$400&lt;&gt;"")*ISNUMBER(SEARCH($A$6:$A$400,K126))*($G$6:$G$400&lt;&gt;"Completed"))=0,"✓ Ready","⏳ "&amp;SUMPRODUCT(($A$6:$A$400&lt;&gt;"")*ISNUMBER(SEARCH($A$6:$A$400,K126))*($G$6:$G$400&lt;&gt;"Completed"))&amp;" open"))</f>
        <v/>
      </c>
      <c r="Z126" t="str">
        <f>IF(A126="","",B126&amp;"|"&amp;COUNTIFS($B$6:B126,B126,$A$6:A126,"?*"))</f>
        <v/>
      </c>
      <c r="AA126" t="str">
        <f>IF(OR(A126="",I126="",G126="Completed"),"",IF(I126&gt;=StatusDate,I126+ROW()/100000,""))</f>
        <v/>
      </c>
      <c r="AB126" t="str">
        <f>IF(A126="","",IF(AND(G126&lt;&gt;"Completed",OR(G126="Blocked",AND(TRIM(P126)&lt;&gt;"",P126&lt;&gt;"None"))),ROW(),""))</f>
        <v/>
      </c>
      <c r="AC126" t="str">
        <f>IF(A126="","",IF(G126="Completed","Done",IF(G126="Blocked","Blocked",IF(X126="OVERDUE","Overdue",IF(AND(W126&lt;&gt;"",W126&lt;=2),"Due soon",IF(AND(Y126&lt;&gt;"",LEFT(Y126,1)="⏳",G126&lt;&gt;"Not Started"),"Dependency open",IF(AND(S126&lt;&gt;"None",S126&lt;&gt;"",G126&lt;&gt;"Completed"),"External req.","On track")))))))</f>
        <v/>
      </c>
    </row>
    <row r="127">
      <c r="U127">
        <f>IF(A127="",0,IF(G127="Completed",1,IF(G127="Not Started",0,MIN(0.99,N(J127)))))</f>
        <v>0</v>
      </c>
      <c r="V127">
        <f>IF(OR(A127="",H127="",I127=""),0,MAX(0,MIN(1,(StatusDate-H127+1)/(I127-H127+1))))</f>
        <v>0</v>
      </c>
      <c r="W127" t="str">
        <f>IF(OR(A127="",I127="",G127="Completed"),"",I127-StatusDate)</f>
        <v/>
      </c>
      <c r="X127" t="str">
        <f>IF(A127="","",IF(AND(G127&lt;&gt;"Completed",I127&lt;&gt;"",I127&lt;StatusDate),"OVERDUE",""))</f>
        <v/>
      </c>
      <c r="Y127" t="str">
        <f>IF(OR(A127="",K127=""),"",IF(SUMPRODUCT(($A$6:$A$400&lt;&gt;"")*ISNUMBER(SEARCH($A$6:$A$400,K127))*($G$6:$G$400&lt;&gt;"Completed"))=0,"✓ Ready","⏳ "&amp;SUMPRODUCT(($A$6:$A$400&lt;&gt;"")*ISNUMBER(SEARCH($A$6:$A$400,K127))*($G$6:$G$400&lt;&gt;"Completed"))&amp;" open"))</f>
        <v/>
      </c>
      <c r="Z127" t="str">
        <f>IF(A127="","",B127&amp;"|"&amp;COUNTIFS($B$6:B127,B127,$A$6:A127,"?*"))</f>
        <v/>
      </c>
      <c r="AA127" t="str">
        <f>IF(OR(A127="",I127="",G127="Completed"),"",IF(I127&gt;=StatusDate,I127+ROW()/100000,""))</f>
        <v/>
      </c>
      <c r="AB127" t="str">
        <f>IF(A127="","",IF(AND(G127&lt;&gt;"Completed",OR(G127="Blocked",AND(TRIM(P127)&lt;&gt;"",P127&lt;&gt;"None"))),ROW(),""))</f>
        <v/>
      </c>
      <c r="AC127" t="str">
        <f>IF(A127="","",IF(G127="Completed","Done",IF(G127="Blocked","Blocked",IF(X127="OVERDUE","Overdue",IF(AND(W127&lt;&gt;"",W127&lt;=2),"Due soon",IF(AND(Y127&lt;&gt;"",LEFT(Y127,1)="⏳",G127&lt;&gt;"Not Started"),"Dependency open",IF(AND(S127&lt;&gt;"None",S127&lt;&gt;"",G127&lt;&gt;"Completed"),"External req.","On track")))))))</f>
        <v/>
      </c>
    </row>
    <row r="128">
      <c r="U128">
        <f>IF(A128="",0,IF(G128="Completed",1,IF(G128="Not Started",0,MIN(0.99,N(J128)))))</f>
        <v>0</v>
      </c>
      <c r="V128">
        <f>IF(OR(A128="",H128="",I128=""),0,MAX(0,MIN(1,(StatusDate-H128+1)/(I128-H128+1))))</f>
        <v>0</v>
      </c>
      <c r="W128" t="str">
        <f>IF(OR(A128="",I128="",G128="Completed"),"",I128-StatusDate)</f>
        <v/>
      </c>
      <c r="X128" t="str">
        <f>IF(A128="","",IF(AND(G128&lt;&gt;"Completed",I128&lt;&gt;"",I128&lt;StatusDate),"OVERDUE",""))</f>
        <v/>
      </c>
      <c r="Y128" t="str">
        <f>IF(OR(A128="",K128=""),"",IF(SUMPRODUCT(($A$6:$A$400&lt;&gt;"")*ISNUMBER(SEARCH($A$6:$A$400,K128))*($G$6:$G$400&lt;&gt;"Completed"))=0,"✓ Ready","⏳ "&amp;SUMPRODUCT(($A$6:$A$400&lt;&gt;"")*ISNUMBER(SEARCH($A$6:$A$400,K128))*($G$6:$G$400&lt;&gt;"Completed"))&amp;" open"))</f>
        <v/>
      </c>
      <c r="Z128" t="str">
        <f>IF(A128="","",B128&amp;"|"&amp;COUNTIFS($B$6:B128,B128,$A$6:A128,"?*"))</f>
        <v/>
      </c>
      <c r="AA128" t="str">
        <f>IF(OR(A128="",I128="",G128="Completed"),"",IF(I128&gt;=StatusDate,I128+ROW()/100000,""))</f>
        <v/>
      </c>
      <c r="AB128" t="str">
        <f>IF(A128="","",IF(AND(G128&lt;&gt;"Completed",OR(G128="Blocked",AND(TRIM(P128)&lt;&gt;"",P128&lt;&gt;"None"))),ROW(),""))</f>
        <v/>
      </c>
      <c r="AC128" t="str">
        <f>IF(A128="","",IF(G128="Completed","Done",IF(G128="Blocked","Blocked",IF(X128="OVERDUE","Overdue",IF(AND(W128&lt;&gt;"",W128&lt;=2),"Due soon",IF(AND(Y128&lt;&gt;"",LEFT(Y128,1)="⏳",G128&lt;&gt;"Not Started"),"Dependency open",IF(AND(S128&lt;&gt;"None",S128&lt;&gt;"",G128&lt;&gt;"Completed"),"External req.","On track")))))))</f>
        <v/>
      </c>
    </row>
    <row r="129">
      <c r="U129">
        <f>IF(A129="",0,IF(G129="Completed",1,IF(G129="Not Started",0,MIN(0.99,N(J129)))))</f>
        <v>0</v>
      </c>
      <c r="V129">
        <f>IF(OR(A129="",H129="",I129=""),0,MAX(0,MIN(1,(StatusDate-H129+1)/(I129-H129+1))))</f>
        <v>0</v>
      </c>
      <c r="W129" t="str">
        <f>IF(OR(A129="",I129="",G129="Completed"),"",I129-StatusDate)</f>
        <v/>
      </c>
      <c r="X129" t="str">
        <f>IF(A129="","",IF(AND(G129&lt;&gt;"Completed",I129&lt;&gt;"",I129&lt;StatusDate),"OVERDUE",""))</f>
        <v/>
      </c>
      <c r="Y129" t="str">
        <f>IF(OR(A129="",K129=""),"",IF(SUMPRODUCT(($A$6:$A$400&lt;&gt;"")*ISNUMBER(SEARCH($A$6:$A$400,K129))*($G$6:$G$400&lt;&gt;"Completed"))=0,"✓ Ready","⏳ "&amp;SUMPRODUCT(($A$6:$A$400&lt;&gt;"")*ISNUMBER(SEARCH($A$6:$A$400,K129))*($G$6:$G$400&lt;&gt;"Completed"))&amp;" open"))</f>
        <v/>
      </c>
      <c r="Z129" t="str">
        <f>IF(A129="","",B129&amp;"|"&amp;COUNTIFS($B$6:B129,B129,$A$6:A129,"?*"))</f>
        <v/>
      </c>
      <c r="AA129" t="str">
        <f>IF(OR(A129="",I129="",G129="Completed"),"",IF(I129&gt;=StatusDate,I129+ROW()/100000,""))</f>
        <v/>
      </c>
      <c r="AB129" t="str">
        <f>IF(A129="","",IF(AND(G129&lt;&gt;"Completed",OR(G129="Blocked",AND(TRIM(P129)&lt;&gt;"",P129&lt;&gt;"None"))),ROW(),""))</f>
        <v/>
      </c>
      <c r="AC129" t="str">
        <f>IF(A129="","",IF(G129="Completed","Done",IF(G129="Blocked","Blocked",IF(X129="OVERDUE","Overdue",IF(AND(W129&lt;&gt;"",W129&lt;=2),"Due soon",IF(AND(Y129&lt;&gt;"",LEFT(Y129,1)="⏳",G129&lt;&gt;"Not Started"),"Dependency open",IF(AND(S129&lt;&gt;"None",S129&lt;&gt;"",G129&lt;&gt;"Completed"),"External req.","On track")))))))</f>
        <v/>
      </c>
    </row>
    <row r="130">
      <c r="U130">
        <f>IF(A130="",0,IF(G130="Completed",1,IF(G130="Not Started",0,MIN(0.99,N(J130)))))</f>
        <v>0</v>
      </c>
      <c r="V130">
        <f>IF(OR(A130="",H130="",I130=""),0,MAX(0,MIN(1,(StatusDate-H130+1)/(I130-H130+1))))</f>
        <v>0</v>
      </c>
      <c r="W130" t="str">
        <f>IF(OR(A130="",I130="",G130="Completed"),"",I130-StatusDate)</f>
        <v/>
      </c>
      <c r="X130" t="str">
        <f>IF(A130="","",IF(AND(G130&lt;&gt;"Completed",I130&lt;&gt;"",I130&lt;StatusDate),"OVERDUE",""))</f>
        <v/>
      </c>
      <c r="Y130" t="str">
        <f>IF(OR(A130="",K130=""),"",IF(SUMPRODUCT(($A$6:$A$400&lt;&gt;"")*ISNUMBER(SEARCH($A$6:$A$400,K130))*($G$6:$G$400&lt;&gt;"Completed"))=0,"✓ Ready","⏳ "&amp;SUMPRODUCT(($A$6:$A$400&lt;&gt;"")*ISNUMBER(SEARCH($A$6:$A$400,K130))*($G$6:$G$400&lt;&gt;"Completed"))&amp;" open"))</f>
        <v/>
      </c>
      <c r="Z130" t="str">
        <f>IF(A130="","",B130&amp;"|"&amp;COUNTIFS($B$6:B130,B130,$A$6:A130,"?*"))</f>
        <v/>
      </c>
      <c r="AA130" t="str">
        <f>IF(OR(A130="",I130="",G130="Completed"),"",IF(I130&gt;=StatusDate,I130+ROW()/100000,""))</f>
        <v/>
      </c>
      <c r="AB130" t="str">
        <f>IF(A130="","",IF(AND(G130&lt;&gt;"Completed",OR(G130="Blocked",AND(TRIM(P130)&lt;&gt;"",P130&lt;&gt;"None"))),ROW(),""))</f>
        <v/>
      </c>
      <c r="AC130" t="str">
        <f>IF(A130="","",IF(G130="Completed","Done",IF(G130="Blocked","Blocked",IF(X130="OVERDUE","Overdue",IF(AND(W130&lt;&gt;"",W130&lt;=2),"Due soon",IF(AND(Y130&lt;&gt;"",LEFT(Y130,1)="⏳",G130&lt;&gt;"Not Started"),"Dependency open",IF(AND(S130&lt;&gt;"None",S130&lt;&gt;"",G130&lt;&gt;"Completed"),"External req.","On track")))))))</f>
        <v/>
      </c>
    </row>
    <row r="131">
      <c r="U131">
        <f>IF(A131="",0,IF(G131="Completed",1,IF(G131="Not Started",0,MIN(0.99,N(J131)))))</f>
        <v>0</v>
      </c>
      <c r="V131">
        <f>IF(OR(A131="",H131="",I131=""),0,MAX(0,MIN(1,(StatusDate-H131+1)/(I131-H131+1))))</f>
        <v>0</v>
      </c>
      <c r="W131" t="str">
        <f>IF(OR(A131="",I131="",G131="Completed"),"",I131-StatusDate)</f>
        <v/>
      </c>
      <c r="X131" t="str">
        <f>IF(A131="","",IF(AND(G131&lt;&gt;"Completed",I131&lt;&gt;"",I131&lt;StatusDate),"OVERDUE",""))</f>
        <v/>
      </c>
      <c r="Y131" t="str">
        <f>IF(OR(A131="",K131=""),"",IF(SUMPRODUCT(($A$6:$A$400&lt;&gt;"")*ISNUMBER(SEARCH($A$6:$A$400,K131))*($G$6:$G$400&lt;&gt;"Completed"))=0,"✓ Ready","⏳ "&amp;SUMPRODUCT(($A$6:$A$400&lt;&gt;"")*ISNUMBER(SEARCH($A$6:$A$400,K131))*($G$6:$G$400&lt;&gt;"Completed"))&amp;" open"))</f>
        <v/>
      </c>
      <c r="Z131" t="str">
        <f>IF(A131="","",B131&amp;"|"&amp;COUNTIFS($B$6:B131,B131,$A$6:A131,"?*"))</f>
        <v/>
      </c>
      <c r="AA131" t="str">
        <f>IF(OR(A131="",I131="",G131="Completed"),"",IF(I131&gt;=StatusDate,I131+ROW()/100000,""))</f>
        <v/>
      </c>
      <c r="AB131" t="str">
        <f>IF(A131="","",IF(AND(G131&lt;&gt;"Completed",OR(G131="Blocked",AND(TRIM(P131)&lt;&gt;"",P131&lt;&gt;"None"))),ROW(),""))</f>
        <v/>
      </c>
      <c r="AC131" t="str">
        <f>IF(A131="","",IF(G131="Completed","Done",IF(G131="Blocked","Blocked",IF(X131="OVERDUE","Overdue",IF(AND(W131&lt;&gt;"",W131&lt;=2),"Due soon",IF(AND(Y131&lt;&gt;"",LEFT(Y131,1)="⏳",G131&lt;&gt;"Not Started"),"Dependency open",IF(AND(S131&lt;&gt;"None",S131&lt;&gt;"",G131&lt;&gt;"Completed"),"External req.","On track")))))))</f>
        <v/>
      </c>
    </row>
    <row r="132">
      <c r="U132">
        <f>IF(A132="",0,IF(G132="Completed",1,IF(G132="Not Started",0,MIN(0.99,N(J132)))))</f>
        <v>0</v>
      </c>
      <c r="V132">
        <f>IF(OR(A132="",H132="",I132=""),0,MAX(0,MIN(1,(StatusDate-H132+1)/(I132-H132+1))))</f>
        <v>0</v>
      </c>
      <c r="W132" t="str">
        <f>IF(OR(A132="",I132="",G132="Completed"),"",I132-StatusDate)</f>
        <v/>
      </c>
      <c r="X132" t="str">
        <f>IF(A132="","",IF(AND(G132&lt;&gt;"Completed",I132&lt;&gt;"",I132&lt;StatusDate),"OVERDUE",""))</f>
        <v/>
      </c>
      <c r="Y132" t="str">
        <f>IF(OR(A132="",K132=""),"",IF(SUMPRODUCT(($A$6:$A$400&lt;&gt;"")*ISNUMBER(SEARCH($A$6:$A$400,K132))*($G$6:$G$400&lt;&gt;"Completed"))=0,"✓ Ready","⏳ "&amp;SUMPRODUCT(($A$6:$A$400&lt;&gt;"")*ISNUMBER(SEARCH($A$6:$A$400,K132))*($G$6:$G$400&lt;&gt;"Completed"))&amp;" open"))</f>
        <v/>
      </c>
      <c r="Z132" t="str">
        <f>IF(A132="","",B132&amp;"|"&amp;COUNTIFS($B$6:B132,B132,$A$6:A132,"?*"))</f>
        <v/>
      </c>
      <c r="AA132" t="str">
        <f>IF(OR(A132="",I132="",G132="Completed"),"",IF(I132&gt;=StatusDate,I132+ROW()/100000,""))</f>
        <v/>
      </c>
      <c r="AB132" t="str">
        <f>IF(A132="","",IF(AND(G132&lt;&gt;"Completed",OR(G132="Blocked",AND(TRIM(P132)&lt;&gt;"",P132&lt;&gt;"None"))),ROW(),""))</f>
        <v/>
      </c>
      <c r="AC132" t="str">
        <f>IF(A132="","",IF(G132="Completed","Done",IF(G132="Blocked","Blocked",IF(X132="OVERDUE","Overdue",IF(AND(W132&lt;&gt;"",W132&lt;=2),"Due soon",IF(AND(Y132&lt;&gt;"",LEFT(Y132,1)="⏳",G132&lt;&gt;"Not Started"),"Dependency open",IF(AND(S132&lt;&gt;"None",S132&lt;&gt;"",G132&lt;&gt;"Completed"),"External req.","On track")))))))</f>
        <v/>
      </c>
    </row>
    <row r="133">
      <c r="U133">
        <f>IF(A133="",0,IF(G133="Completed",1,IF(G133="Not Started",0,MIN(0.99,N(J133)))))</f>
        <v>0</v>
      </c>
      <c r="V133">
        <f>IF(OR(A133="",H133="",I133=""),0,MAX(0,MIN(1,(StatusDate-H133+1)/(I133-H133+1))))</f>
        <v>0</v>
      </c>
      <c r="W133" t="str">
        <f>IF(OR(A133="",I133="",G133="Completed"),"",I133-StatusDate)</f>
        <v/>
      </c>
      <c r="X133" t="str">
        <f>IF(A133="","",IF(AND(G133&lt;&gt;"Completed",I133&lt;&gt;"",I133&lt;StatusDate),"OVERDUE",""))</f>
        <v/>
      </c>
      <c r="Y133" t="str">
        <f>IF(OR(A133="",K133=""),"",IF(SUMPRODUCT(($A$6:$A$400&lt;&gt;"")*ISNUMBER(SEARCH($A$6:$A$400,K133))*($G$6:$G$400&lt;&gt;"Completed"))=0,"✓ Ready","⏳ "&amp;SUMPRODUCT(($A$6:$A$400&lt;&gt;"")*ISNUMBER(SEARCH($A$6:$A$400,K133))*($G$6:$G$400&lt;&gt;"Completed"))&amp;" open"))</f>
        <v/>
      </c>
      <c r="Z133" t="str">
        <f>IF(A133="","",B133&amp;"|"&amp;COUNTIFS($B$6:B133,B133,$A$6:A133,"?*"))</f>
        <v/>
      </c>
      <c r="AA133" t="str">
        <f>IF(OR(A133="",I133="",G133="Completed"),"",IF(I133&gt;=StatusDate,I133+ROW()/100000,""))</f>
        <v/>
      </c>
      <c r="AB133" t="str">
        <f>IF(A133="","",IF(AND(G133&lt;&gt;"Completed",OR(G133="Blocked",AND(TRIM(P133)&lt;&gt;"",P133&lt;&gt;"None"))),ROW(),""))</f>
        <v/>
      </c>
      <c r="AC133" t="str">
        <f>IF(A133="","",IF(G133="Completed","Done",IF(G133="Blocked","Blocked",IF(X133="OVERDUE","Overdue",IF(AND(W133&lt;&gt;"",W133&lt;=2),"Due soon",IF(AND(Y133&lt;&gt;"",LEFT(Y133,1)="⏳",G133&lt;&gt;"Not Started"),"Dependency open",IF(AND(S133&lt;&gt;"None",S133&lt;&gt;"",G133&lt;&gt;"Completed"),"External req.","On track")))))))</f>
        <v/>
      </c>
    </row>
    <row r="134">
      <c r="U134">
        <f>IF(A134="",0,IF(G134="Completed",1,IF(G134="Not Started",0,MIN(0.99,N(J134)))))</f>
        <v>0</v>
      </c>
      <c r="V134">
        <f>IF(OR(A134="",H134="",I134=""),0,MAX(0,MIN(1,(StatusDate-H134+1)/(I134-H134+1))))</f>
        <v>0</v>
      </c>
      <c r="W134" t="str">
        <f>IF(OR(A134="",I134="",G134="Completed"),"",I134-StatusDate)</f>
        <v/>
      </c>
      <c r="X134" t="str">
        <f>IF(A134="","",IF(AND(G134&lt;&gt;"Completed",I134&lt;&gt;"",I134&lt;StatusDate),"OVERDUE",""))</f>
        <v/>
      </c>
      <c r="Y134" t="str">
        <f>IF(OR(A134="",K134=""),"",IF(SUMPRODUCT(($A$6:$A$400&lt;&gt;"")*ISNUMBER(SEARCH($A$6:$A$400,K134))*($G$6:$G$400&lt;&gt;"Completed"))=0,"✓ Ready","⏳ "&amp;SUMPRODUCT(($A$6:$A$400&lt;&gt;"")*ISNUMBER(SEARCH($A$6:$A$400,K134))*($G$6:$G$400&lt;&gt;"Completed"))&amp;" open"))</f>
        <v/>
      </c>
      <c r="Z134" t="str">
        <f>IF(A134="","",B134&amp;"|"&amp;COUNTIFS($B$6:B134,B134,$A$6:A134,"?*"))</f>
        <v/>
      </c>
      <c r="AA134" t="str">
        <f>IF(OR(A134="",I134="",G134="Completed"),"",IF(I134&gt;=StatusDate,I134+ROW()/100000,""))</f>
        <v/>
      </c>
      <c r="AB134" t="str">
        <f>IF(A134="","",IF(AND(G134&lt;&gt;"Completed",OR(G134="Blocked",AND(TRIM(P134)&lt;&gt;"",P134&lt;&gt;"None"))),ROW(),""))</f>
        <v/>
      </c>
      <c r="AC134" t="str">
        <f>IF(A134="","",IF(G134="Completed","Done",IF(G134="Blocked","Blocked",IF(X134="OVERDUE","Overdue",IF(AND(W134&lt;&gt;"",W134&lt;=2),"Due soon",IF(AND(Y134&lt;&gt;"",LEFT(Y134,1)="⏳",G134&lt;&gt;"Not Started"),"Dependency open",IF(AND(S134&lt;&gt;"None",S134&lt;&gt;"",G134&lt;&gt;"Completed"),"External req.","On track")))))))</f>
        <v/>
      </c>
    </row>
    <row r="135">
      <c r="U135">
        <f>IF(A135="",0,IF(G135="Completed",1,IF(G135="Not Started",0,MIN(0.99,N(J135)))))</f>
        <v>0</v>
      </c>
      <c r="V135">
        <f>IF(OR(A135="",H135="",I135=""),0,MAX(0,MIN(1,(StatusDate-H135+1)/(I135-H135+1))))</f>
        <v>0</v>
      </c>
      <c r="W135" t="str">
        <f>IF(OR(A135="",I135="",G135="Completed"),"",I135-StatusDate)</f>
        <v/>
      </c>
      <c r="X135" t="str">
        <f>IF(A135="","",IF(AND(G135&lt;&gt;"Completed",I135&lt;&gt;"",I135&lt;StatusDate),"OVERDUE",""))</f>
        <v/>
      </c>
      <c r="Y135" t="str">
        <f>IF(OR(A135="",K135=""),"",IF(SUMPRODUCT(($A$6:$A$400&lt;&gt;"")*ISNUMBER(SEARCH($A$6:$A$400,K135))*($G$6:$G$400&lt;&gt;"Completed"))=0,"✓ Ready","⏳ "&amp;SUMPRODUCT(($A$6:$A$400&lt;&gt;"")*ISNUMBER(SEARCH($A$6:$A$400,K135))*($G$6:$G$400&lt;&gt;"Completed"))&amp;" open"))</f>
        <v/>
      </c>
      <c r="Z135" t="str">
        <f>IF(A135="","",B135&amp;"|"&amp;COUNTIFS($B$6:B135,B135,$A$6:A135,"?*"))</f>
        <v/>
      </c>
      <c r="AA135" t="str">
        <f>IF(OR(A135="",I135="",G135="Completed"),"",IF(I135&gt;=StatusDate,I135+ROW()/100000,""))</f>
        <v/>
      </c>
      <c r="AB135" t="str">
        <f>IF(A135="","",IF(AND(G135&lt;&gt;"Completed",OR(G135="Blocked",AND(TRIM(P135)&lt;&gt;"",P135&lt;&gt;"None"))),ROW(),""))</f>
        <v/>
      </c>
      <c r="AC135" t="str">
        <f>IF(A135="","",IF(G135="Completed","Done",IF(G135="Blocked","Blocked",IF(X135="OVERDUE","Overdue",IF(AND(W135&lt;&gt;"",W135&lt;=2),"Due soon",IF(AND(Y135&lt;&gt;"",LEFT(Y135,1)="⏳",G135&lt;&gt;"Not Started"),"Dependency open",IF(AND(S135&lt;&gt;"None",S135&lt;&gt;"",G135&lt;&gt;"Completed"),"External req.","On track")))))))</f>
        <v/>
      </c>
    </row>
    <row r="136">
      <c r="U136">
        <f>IF(A136="",0,IF(G136="Completed",1,IF(G136="Not Started",0,MIN(0.99,N(J136)))))</f>
        <v>0</v>
      </c>
      <c r="V136">
        <f>IF(OR(A136="",H136="",I136=""),0,MAX(0,MIN(1,(StatusDate-H136+1)/(I136-H136+1))))</f>
        <v>0</v>
      </c>
      <c r="W136" t="str">
        <f>IF(OR(A136="",I136="",G136="Completed"),"",I136-StatusDate)</f>
        <v/>
      </c>
      <c r="X136" t="str">
        <f>IF(A136="","",IF(AND(G136&lt;&gt;"Completed",I136&lt;&gt;"",I136&lt;StatusDate),"OVERDUE",""))</f>
        <v/>
      </c>
      <c r="Y136" t="str">
        <f>IF(OR(A136="",K136=""),"",IF(SUMPRODUCT(($A$6:$A$400&lt;&gt;"")*ISNUMBER(SEARCH($A$6:$A$400,K136))*($G$6:$G$400&lt;&gt;"Completed"))=0,"✓ Ready","⏳ "&amp;SUMPRODUCT(($A$6:$A$400&lt;&gt;"")*ISNUMBER(SEARCH($A$6:$A$400,K136))*($G$6:$G$400&lt;&gt;"Completed"))&amp;" open"))</f>
        <v/>
      </c>
      <c r="Z136" t="str">
        <f>IF(A136="","",B136&amp;"|"&amp;COUNTIFS($B$6:B136,B136,$A$6:A136,"?*"))</f>
        <v/>
      </c>
      <c r="AA136" t="str">
        <f>IF(OR(A136="",I136="",G136="Completed"),"",IF(I136&gt;=StatusDate,I136+ROW()/100000,""))</f>
        <v/>
      </c>
      <c r="AB136" t="str">
        <f>IF(A136="","",IF(AND(G136&lt;&gt;"Completed",OR(G136="Blocked",AND(TRIM(P136)&lt;&gt;"",P136&lt;&gt;"None"))),ROW(),""))</f>
        <v/>
      </c>
      <c r="AC136" t="str">
        <f>IF(A136="","",IF(G136="Completed","Done",IF(G136="Blocked","Blocked",IF(X136="OVERDUE","Overdue",IF(AND(W136&lt;&gt;"",W136&lt;=2),"Due soon",IF(AND(Y136&lt;&gt;"",LEFT(Y136,1)="⏳",G136&lt;&gt;"Not Started"),"Dependency open",IF(AND(S136&lt;&gt;"None",S136&lt;&gt;"",G136&lt;&gt;"Completed"),"External req.","On track")))))))</f>
        <v/>
      </c>
    </row>
    <row r="137">
      <c r="U137">
        <f>IF(A137="",0,IF(G137="Completed",1,IF(G137="Not Started",0,MIN(0.99,N(J137)))))</f>
        <v>0</v>
      </c>
      <c r="V137">
        <f>IF(OR(A137="",H137="",I137=""),0,MAX(0,MIN(1,(StatusDate-H137+1)/(I137-H137+1))))</f>
        <v>0</v>
      </c>
      <c r="W137" t="str">
        <f>IF(OR(A137="",I137="",G137="Completed"),"",I137-StatusDate)</f>
        <v/>
      </c>
      <c r="X137" t="str">
        <f>IF(A137="","",IF(AND(G137&lt;&gt;"Completed",I137&lt;&gt;"",I137&lt;StatusDate),"OVERDUE",""))</f>
        <v/>
      </c>
      <c r="Y137" t="str">
        <f>IF(OR(A137="",K137=""),"",IF(SUMPRODUCT(($A$6:$A$400&lt;&gt;"")*ISNUMBER(SEARCH($A$6:$A$400,K137))*($G$6:$G$400&lt;&gt;"Completed"))=0,"✓ Ready","⏳ "&amp;SUMPRODUCT(($A$6:$A$400&lt;&gt;"")*ISNUMBER(SEARCH($A$6:$A$400,K137))*($G$6:$G$400&lt;&gt;"Completed"))&amp;" open"))</f>
        <v/>
      </c>
      <c r="Z137" t="str">
        <f>IF(A137="","",B137&amp;"|"&amp;COUNTIFS($B$6:B137,B137,$A$6:A137,"?*"))</f>
        <v/>
      </c>
      <c r="AA137" t="str">
        <f>IF(OR(A137="",I137="",G137="Completed"),"",IF(I137&gt;=StatusDate,I137+ROW()/100000,""))</f>
        <v/>
      </c>
      <c r="AB137" t="str">
        <f>IF(A137="","",IF(AND(G137&lt;&gt;"Completed",OR(G137="Blocked",AND(TRIM(P137)&lt;&gt;"",P137&lt;&gt;"None"))),ROW(),""))</f>
        <v/>
      </c>
      <c r="AC137" t="str">
        <f>IF(A137="","",IF(G137="Completed","Done",IF(G137="Blocked","Blocked",IF(X137="OVERDUE","Overdue",IF(AND(W137&lt;&gt;"",W137&lt;=2),"Due soon",IF(AND(Y137&lt;&gt;"",LEFT(Y137,1)="⏳",G137&lt;&gt;"Not Started"),"Dependency open",IF(AND(S137&lt;&gt;"None",S137&lt;&gt;"",G137&lt;&gt;"Completed"),"External req.","On track")))))))</f>
        <v/>
      </c>
    </row>
    <row r="138">
      <c r="U138">
        <f>IF(A138="",0,IF(G138="Completed",1,IF(G138="Not Started",0,MIN(0.99,N(J138)))))</f>
        <v>0</v>
      </c>
      <c r="V138">
        <f>IF(OR(A138="",H138="",I138=""),0,MAX(0,MIN(1,(StatusDate-H138+1)/(I138-H138+1))))</f>
        <v>0</v>
      </c>
      <c r="W138" t="str">
        <f>IF(OR(A138="",I138="",G138="Completed"),"",I138-StatusDate)</f>
        <v/>
      </c>
      <c r="X138" t="str">
        <f>IF(A138="","",IF(AND(G138&lt;&gt;"Completed",I138&lt;&gt;"",I138&lt;StatusDate),"OVERDUE",""))</f>
        <v/>
      </c>
      <c r="Y138" t="str">
        <f>IF(OR(A138="",K138=""),"",IF(SUMPRODUCT(($A$6:$A$400&lt;&gt;"")*ISNUMBER(SEARCH($A$6:$A$400,K138))*($G$6:$G$400&lt;&gt;"Completed"))=0,"✓ Ready","⏳ "&amp;SUMPRODUCT(($A$6:$A$400&lt;&gt;"")*ISNUMBER(SEARCH($A$6:$A$400,K138))*($G$6:$G$400&lt;&gt;"Completed"))&amp;" open"))</f>
        <v/>
      </c>
      <c r="Z138" t="str">
        <f>IF(A138="","",B138&amp;"|"&amp;COUNTIFS($B$6:B138,B138,$A$6:A138,"?*"))</f>
        <v/>
      </c>
      <c r="AA138" t="str">
        <f>IF(OR(A138="",I138="",G138="Completed"),"",IF(I138&gt;=StatusDate,I138+ROW()/100000,""))</f>
        <v/>
      </c>
      <c r="AB138" t="str">
        <f>IF(A138="","",IF(AND(G138&lt;&gt;"Completed",OR(G138="Blocked",AND(TRIM(P138)&lt;&gt;"",P138&lt;&gt;"None"))),ROW(),""))</f>
        <v/>
      </c>
      <c r="AC138" t="str">
        <f>IF(A138="","",IF(G138="Completed","Done",IF(G138="Blocked","Blocked",IF(X138="OVERDUE","Overdue",IF(AND(W138&lt;&gt;"",W138&lt;=2),"Due soon",IF(AND(Y138&lt;&gt;"",LEFT(Y138,1)="⏳",G138&lt;&gt;"Not Started"),"Dependency open",IF(AND(S138&lt;&gt;"None",S138&lt;&gt;"",G138&lt;&gt;"Completed"),"External req.","On track")))))))</f>
        <v/>
      </c>
    </row>
    <row r="139">
      <c r="U139">
        <f>IF(A139="",0,IF(G139="Completed",1,IF(G139="Not Started",0,MIN(0.99,N(J139)))))</f>
        <v>0</v>
      </c>
      <c r="V139">
        <f>IF(OR(A139="",H139="",I139=""),0,MAX(0,MIN(1,(StatusDate-H139+1)/(I139-H139+1))))</f>
        <v>0</v>
      </c>
      <c r="W139" t="str">
        <f>IF(OR(A139="",I139="",G139="Completed"),"",I139-StatusDate)</f>
        <v/>
      </c>
      <c r="X139" t="str">
        <f>IF(A139="","",IF(AND(G139&lt;&gt;"Completed",I139&lt;&gt;"",I139&lt;StatusDate),"OVERDUE",""))</f>
        <v/>
      </c>
      <c r="Y139" t="str">
        <f>IF(OR(A139="",K139=""),"",IF(SUMPRODUCT(($A$6:$A$400&lt;&gt;"")*ISNUMBER(SEARCH($A$6:$A$400,K139))*($G$6:$G$400&lt;&gt;"Completed"))=0,"✓ Ready","⏳ "&amp;SUMPRODUCT(($A$6:$A$400&lt;&gt;"")*ISNUMBER(SEARCH($A$6:$A$400,K139))*($G$6:$G$400&lt;&gt;"Completed"))&amp;" open"))</f>
        <v/>
      </c>
      <c r="Z139" t="str">
        <f>IF(A139="","",B139&amp;"|"&amp;COUNTIFS($B$6:B139,B139,$A$6:A139,"?*"))</f>
        <v/>
      </c>
      <c r="AA139" t="str">
        <f>IF(OR(A139="",I139="",G139="Completed"),"",IF(I139&gt;=StatusDate,I139+ROW()/100000,""))</f>
        <v/>
      </c>
      <c r="AB139" t="str">
        <f>IF(A139="","",IF(AND(G139&lt;&gt;"Completed",OR(G139="Blocked",AND(TRIM(P139)&lt;&gt;"",P139&lt;&gt;"None"))),ROW(),""))</f>
        <v/>
      </c>
      <c r="AC139" t="str">
        <f>IF(A139="","",IF(G139="Completed","Done",IF(G139="Blocked","Blocked",IF(X139="OVERDUE","Overdue",IF(AND(W139&lt;&gt;"",W139&lt;=2),"Due soon",IF(AND(Y139&lt;&gt;"",LEFT(Y139,1)="⏳",G139&lt;&gt;"Not Started"),"Dependency open",IF(AND(S139&lt;&gt;"None",S139&lt;&gt;"",G139&lt;&gt;"Completed"),"External req.","On track")))))))</f>
        <v/>
      </c>
    </row>
    <row r="140">
      <c r="U140">
        <f>IF(A140="",0,IF(G140="Completed",1,IF(G140="Not Started",0,MIN(0.99,N(J140)))))</f>
        <v>0</v>
      </c>
      <c r="V140">
        <f>IF(OR(A140="",H140="",I140=""),0,MAX(0,MIN(1,(StatusDate-H140+1)/(I140-H140+1))))</f>
        <v>0</v>
      </c>
      <c r="W140" t="str">
        <f>IF(OR(A140="",I140="",G140="Completed"),"",I140-StatusDate)</f>
        <v/>
      </c>
      <c r="X140" t="str">
        <f>IF(A140="","",IF(AND(G140&lt;&gt;"Completed",I140&lt;&gt;"",I140&lt;StatusDate),"OVERDUE",""))</f>
        <v/>
      </c>
      <c r="Y140" t="str">
        <f>IF(OR(A140="",K140=""),"",IF(SUMPRODUCT(($A$6:$A$400&lt;&gt;"")*ISNUMBER(SEARCH($A$6:$A$400,K140))*($G$6:$G$400&lt;&gt;"Completed"))=0,"✓ Ready","⏳ "&amp;SUMPRODUCT(($A$6:$A$400&lt;&gt;"")*ISNUMBER(SEARCH($A$6:$A$400,K140))*($G$6:$G$400&lt;&gt;"Completed"))&amp;" open"))</f>
        <v/>
      </c>
      <c r="Z140" t="str">
        <f>IF(A140="","",B140&amp;"|"&amp;COUNTIFS($B$6:B140,B140,$A$6:A140,"?*"))</f>
        <v/>
      </c>
      <c r="AA140" t="str">
        <f>IF(OR(A140="",I140="",G140="Completed"),"",IF(I140&gt;=StatusDate,I140+ROW()/100000,""))</f>
        <v/>
      </c>
      <c r="AB140" t="str">
        <f>IF(A140="","",IF(AND(G140&lt;&gt;"Completed",OR(G140="Blocked",AND(TRIM(P140)&lt;&gt;"",P140&lt;&gt;"None"))),ROW(),""))</f>
        <v/>
      </c>
      <c r="AC140" t="str">
        <f>IF(A140="","",IF(G140="Completed","Done",IF(G140="Blocked","Blocked",IF(X140="OVERDUE","Overdue",IF(AND(W140&lt;&gt;"",W140&lt;=2),"Due soon",IF(AND(Y140&lt;&gt;"",LEFT(Y140,1)="⏳",G140&lt;&gt;"Not Started"),"Dependency open",IF(AND(S140&lt;&gt;"None",S140&lt;&gt;"",G140&lt;&gt;"Completed"),"External req.","On track")))))))</f>
        <v/>
      </c>
    </row>
    <row r="141">
      <c r="U141">
        <f>IF(A141="",0,IF(G141="Completed",1,IF(G141="Not Started",0,MIN(0.99,N(J141)))))</f>
        <v>0</v>
      </c>
      <c r="V141">
        <f>IF(OR(A141="",H141="",I141=""),0,MAX(0,MIN(1,(StatusDate-H141+1)/(I141-H141+1))))</f>
        <v>0</v>
      </c>
      <c r="W141" t="str">
        <f>IF(OR(A141="",I141="",G141="Completed"),"",I141-StatusDate)</f>
        <v/>
      </c>
      <c r="X141" t="str">
        <f>IF(A141="","",IF(AND(G141&lt;&gt;"Completed",I141&lt;&gt;"",I141&lt;StatusDate),"OVERDUE",""))</f>
        <v/>
      </c>
      <c r="Y141" t="str">
        <f>IF(OR(A141="",K141=""),"",IF(SUMPRODUCT(($A$6:$A$400&lt;&gt;"")*ISNUMBER(SEARCH($A$6:$A$400,K141))*($G$6:$G$400&lt;&gt;"Completed"))=0,"✓ Ready","⏳ "&amp;SUMPRODUCT(($A$6:$A$400&lt;&gt;"")*ISNUMBER(SEARCH($A$6:$A$400,K141))*($G$6:$G$400&lt;&gt;"Completed"))&amp;" open"))</f>
        <v/>
      </c>
      <c r="Z141" t="str">
        <f>IF(A141="","",B141&amp;"|"&amp;COUNTIFS($B$6:B141,B141,$A$6:A141,"?*"))</f>
        <v/>
      </c>
      <c r="AA141" t="str">
        <f>IF(OR(A141="",I141="",G141="Completed"),"",IF(I141&gt;=StatusDate,I141+ROW()/100000,""))</f>
        <v/>
      </c>
      <c r="AB141" t="str">
        <f>IF(A141="","",IF(AND(G141&lt;&gt;"Completed",OR(G141="Blocked",AND(TRIM(P141)&lt;&gt;"",P141&lt;&gt;"None"))),ROW(),""))</f>
        <v/>
      </c>
      <c r="AC141" t="str">
        <f>IF(A141="","",IF(G141="Completed","Done",IF(G141="Blocked","Blocked",IF(X141="OVERDUE","Overdue",IF(AND(W141&lt;&gt;"",W141&lt;=2),"Due soon",IF(AND(Y141&lt;&gt;"",LEFT(Y141,1)="⏳",G141&lt;&gt;"Not Started"),"Dependency open",IF(AND(S141&lt;&gt;"None",S141&lt;&gt;"",G141&lt;&gt;"Completed"),"External req.","On track")))))))</f>
        <v/>
      </c>
    </row>
    <row r="142">
      <c r="U142">
        <f>IF(A142="",0,IF(G142="Completed",1,IF(G142="Not Started",0,MIN(0.99,N(J142)))))</f>
        <v>0</v>
      </c>
      <c r="V142">
        <f>IF(OR(A142="",H142="",I142=""),0,MAX(0,MIN(1,(StatusDate-H142+1)/(I142-H142+1))))</f>
        <v>0</v>
      </c>
      <c r="W142" t="str">
        <f>IF(OR(A142="",I142="",G142="Completed"),"",I142-StatusDate)</f>
        <v/>
      </c>
      <c r="X142" t="str">
        <f>IF(A142="","",IF(AND(G142&lt;&gt;"Completed",I142&lt;&gt;"",I142&lt;StatusDate),"OVERDUE",""))</f>
        <v/>
      </c>
      <c r="Y142" t="str">
        <f>IF(OR(A142="",K142=""),"",IF(SUMPRODUCT(($A$6:$A$400&lt;&gt;"")*ISNUMBER(SEARCH($A$6:$A$400,K142))*($G$6:$G$400&lt;&gt;"Completed"))=0,"✓ Ready","⏳ "&amp;SUMPRODUCT(($A$6:$A$400&lt;&gt;"")*ISNUMBER(SEARCH($A$6:$A$400,K142))*($G$6:$G$400&lt;&gt;"Completed"))&amp;" open"))</f>
        <v/>
      </c>
      <c r="Z142" t="str">
        <f>IF(A142="","",B142&amp;"|"&amp;COUNTIFS($B$6:B142,B142,$A$6:A142,"?*"))</f>
        <v/>
      </c>
      <c r="AA142" t="str">
        <f>IF(OR(A142="",I142="",G142="Completed"),"",IF(I142&gt;=StatusDate,I142+ROW()/100000,""))</f>
        <v/>
      </c>
      <c r="AB142" t="str">
        <f>IF(A142="","",IF(AND(G142&lt;&gt;"Completed",OR(G142="Blocked",AND(TRIM(P142)&lt;&gt;"",P142&lt;&gt;"None"))),ROW(),""))</f>
        <v/>
      </c>
      <c r="AC142" t="str">
        <f>IF(A142="","",IF(G142="Completed","Done",IF(G142="Blocked","Blocked",IF(X142="OVERDUE","Overdue",IF(AND(W142&lt;&gt;"",W142&lt;=2),"Due soon",IF(AND(Y142&lt;&gt;"",LEFT(Y142,1)="⏳",G142&lt;&gt;"Not Started"),"Dependency open",IF(AND(S142&lt;&gt;"None",S142&lt;&gt;"",G142&lt;&gt;"Completed"),"External req.","On track")))))))</f>
        <v/>
      </c>
    </row>
    <row r="143">
      <c r="U143">
        <f>IF(A143="",0,IF(G143="Completed",1,IF(G143="Not Started",0,MIN(0.99,N(J143)))))</f>
        <v>0</v>
      </c>
      <c r="V143">
        <f>IF(OR(A143="",H143="",I143=""),0,MAX(0,MIN(1,(StatusDate-H143+1)/(I143-H143+1))))</f>
        <v>0</v>
      </c>
      <c r="W143" t="str">
        <f>IF(OR(A143="",I143="",G143="Completed"),"",I143-StatusDate)</f>
        <v/>
      </c>
      <c r="X143" t="str">
        <f>IF(A143="","",IF(AND(G143&lt;&gt;"Completed",I143&lt;&gt;"",I143&lt;StatusDate),"OVERDUE",""))</f>
        <v/>
      </c>
      <c r="Y143" t="str">
        <f>IF(OR(A143="",K143=""),"",IF(SUMPRODUCT(($A$6:$A$400&lt;&gt;"")*ISNUMBER(SEARCH($A$6:$A$400,K143))*($G$6:$G$400&lt;&gt;"Completed"))=0,"✓ Ready","⏳ "&amp;SUMPRODUCT(($A$6:$A$400&lt;&gt;"")*ISNUMBER(SEARCH($A$6:$A$400,K143))*($G$6:$G$400&lt;&gt;"Completed"))&amp;" open"))</f>
        <v/>
      </c>
      <c r="Z143" t="str">
        <f>IF(A143="","",B143&amp;"|"&amp;COUNTIFS($B$6:B143,B143,$A$6:A143,"?*"))</f>
        <v/>
      </c>
      <c r="AA143" t="str">
        <f>IF(OR(A143="",I143="",G143="Completed"),"",IF(I143&gt;=StatusDate,I143+ROW()/100000,""))</f>
        <v/>
      </c>
      <c r="AB143" t="str">
        <f>IF(A143="","",IF(AND(G143&lt;&gt;"Completed",OR(G143="Blocked",AND(TRIM(P143)&lt;&gt;"",P143&lt;&gt;"None"))),ROW(),""))</f>
        <v/>
      </c>
      <c r="AC143" t="str">
        <f>IF(A143="","",IF(G143="Completed","Done",IF(G143="Blocked","Blocked",IF(X143="OVERDUE","Overdue",IF(AND(W143&lt;&gt;"",W143&lt;=2),"Due soon",IF(AND(Y143&lt;&gt;"",LEFT(Y143,1)="⏳",G143&lt;&gt;"Not Started"),"Dependency open",IF(AND(S143&lt;&gt;"None",S143&lt;&gt;"",G143&lt;&gt;"Completed"),"External req.","On track")))))))</f>
        <v/>
      </c>
    </row>
    <row r="144">
      <c r="U144">
        <f>IF(A144="",0,IF(G144="Completed",1,IF(G144="Not Started",0,MIN(0.99,N(J144)))))</f>
        <v>0</v>
      </c>
      <c r="V144">
        <f>IF(OR(A144="",H144="",I144=""),0,MAX(0,MIN(1,(StatusDate-H144+1)/(I144-H144+1))))</f>
        <v>0</v>
      </c>
      <c r="W144" t="str">
        <f>IF(OR(A144="",I144="",G144="Completed"),"",I144-StatusDate)</f>
        <v/>
      </c>
      <c r="X144" t="str">
        <f>IF(A144="","",IF(AND(G144&lt;&gt;"Completed",I144&lt;&gt;"",I144&lt;StatusDate),"OVERDUE",""))</f>
        <v/>
      </c>
      <c r="Y144" t="str">
        <f>IF(OR(A144="",K144=""),"",IF(SUMPRODUCT(($A$6:$A$400&lt;&gt;"")*ISNUMBER(SEARCH($A$6:$A$400,K144))*($G$6:$G$400&lt;&gt;"Completed"))=0,"✓ Ready","⏳ "&amp;SUMPRODUCT(($A$6:$A$400&lt;&gt;"")*ISNUMBER(SEARCH($A$6:$A$400,K144))*($G$6:$G$400&lt;&gt;"Completed"))&amp;" open"))</f>
        <v/>
      </c>
      <c r="Z144" t="str">
        <f>IF(A144="","",B144&amp;"|"&amp;COUNTIFS($B$6:B144,B144,$A$6:A144,"?*"))</f>
        <v/>
      </c>
      <c r="AA144" t="str">
        <f>IF(OR(A144="",I144="",G144="Completed"),"",IF(I144&gt;=StatusDate,I144+ROW()/100000,""))</f>
        <v/>
      </c>
      <c r="AB144" t="str">
        <f>IF(A144="","",IF(AND(G144&lt;&gt;"Completed",OR(G144="Blocked",AND(TRIM(P144)&lt;&gt;"",P144&lt;&gt;"None"))),ROW(),""))</f>
        <v/>
      </c>
      <c r="AC144" t="str">
        <f>IF(A144="","",IF(G144="Completed","Done",IF(G144="Blocked","Blocked",IF(X144="OVERDUE","Overdue",IF(AND(W144&lt;&gt;"",W144&lt;=2),"Due soon",IF(AND(Y144&lt;&gt;"",LEFT(Y144,1)="⏳",G144&lt;&gt;"Not Started"),"Dependency open",IF(AND(S144&lt;&gt;"None",S144&lt;&gt;"",G144&lt;&gt;"Completed"),"External req.","On track")))))))</f>
        <v/>
      </c>
    </row>
    <row r="145">
      <c r="U145">
        <f>IF(A145="",0,IF(G145="Completed",1,IF(G145="Not Started",0,MIN(0.99,N(J145)))))</f>
        <v>0</v>
      </c>
      <c r="V145">
        <f>IF(OR(A145="",H145="",I145=""),0,MAX(0,MIN(1,(StatusDate-H145+1)/(I145-H145+1))))</f>
        <v>0</v>
      </c>
      <c r="W145" t="str">
        <f>IF(OR(A145="",I145="",G145="Completed"),"",I145-StatusDate)</f>
        <v/>
      </c>
      <c r="X145" t="str">
        <f>IF(A145="","",IF(AND(G145&lt;&gt;"Completed",I145&lt;&gt;"",I145&lt;StatusDate),"OVERDUE",""))</f>
        <v/>
      </c>
      <c r="Y145" t="str">
        <f>IF(OR(A145="",K145=""),"",IF(SUMPRODUCT(($A$6:$A$400&lt;&gt;"")*ISNUMBER(SEARCH($A$6:$A$400,K145))*($G$6:$G$400&lt;&gt;"Completed"))=0,"✓ Ready","⏳ "&amp;SUMPRODUCT(($A$6:$A$400&lt;&gt;"")*ISNUMBER(SEARCH($A$6:$A$400,K145))*($G$6:$G$400&lt;&gt;"Completed"))&amp;" open"))</f>
        <v/>
      </c>
      <c r="Z145" t="str">
        <f>IF(A145="","",B145&amp;"|"&amp;COUNTIFS($B$6:B145,B145,$A$6:A145,"?*"))</f>
        <v/>
      </c>
      <c r="AA145" t="str">
        <f>IF(OR(A145="",I145="",G145="Completed"),"",IF(I145&gt;=StatusDate,I145+ROW()/100000,""))</f>
        <v/>
      </c>
      <c r="AB145" t="str">
        <f>IF(A145="","",IF(AND(G145&lt;&gt;"Completed",OR(G145="Blocked",AND(TRIM(P145)&lt;&gt;"",P145&lt;&gt;"None"))),ROW(),""))</f>
        <v/>
      </c>
      <c r="AC145" t="str">
        <f>IF(A145="","",IF(G145="Completed","Done",IF(G145="Blocked","Blocked",IF(X145="OVERDUE","Overdue",IF(AND(W145&lt;&gt;"",W145&lt;=2),"Due soon",IF(AND(Y145&lt;&gt;"",LEFT(Y145,1)="⏳",G145&lt;&gt;"Not Started"),"Dependency open",IF(AND(S145&lt;&gt;"None",S145&lt;&gt;"",G145&lt;&gt;"Completed"),"External req.","On track")))))))</f>
        <v/>
      </c>
    </row>
    <row r="146">
      <c r="U146">
        <f>IF(A146="",0,IF(G146="Completed",1,IF(G146="Not Started",0,MIN(0.99,N(J146)))))</f>
        <v>0</v>
      </c>
      <c r="V146">
        <f>IF(OR(A146="",H146="",I146=""),0,MAX(0,MIN(1,(StatusDate-H146+1)/(I146-H146+1))))</f>
        <v>0</v>
      </c>
      <c r="W146" t="str">
        <f>IF(OR(A146="",I146="",G146="Completed"),"",I146-StatusDate)</f>
        <v/>
      </c>
      <c r="X146" t="str">
        <f>IF(A146="","",IF(AND(G146&lt;&gt;"Completed",I146&lt;&gt;"",I146&lt;StatusDate),"OVERDUE",""))</f>
        <v/>
      </c>
      <c r="Y146" t="str">
        <f>IF(OR(A146="",K146=""),"",IF(SUMPRODUCT(($A$6:$A$400&lt;&gt;"")*ISNUMBER(SEARCH($A$6:$A$400,K146))*($G$6:$G$400&lt;&gt;"Completed"))=0,"✓ Ready","⏳ "&amp;SUMPRODUCT(($A$6:$A$400&lt;&gt;"")*ISNUMBER(SEARCH($A$6:$A$400,K146))*($G$6:$G$400&lt;&gt;"Completed"))&amp;" open"))</f>
        <v/>
      </c>
      <c r="Z146" t="str">
        <f>IF(A146="","",B146&amp;"|"&amp;COUNTIFS($B$6:B146,B146,$A$6:A146,"?*"))</f>
        <v/>
      </c>
      <c r="AA146" t="str">
        <f>IF(OR(A146="",I146="",G146="Completed"),"",IF(I146&gt;=StatusDate,I146+ROW()/100000,""))</f>
        <v/>
      </c>
      <c r="AB146" t="str">
        <f>IF(A146="","",IF(AND(G146&lt;&gt;"Completed",OR(G146="Blocked",AND(TRIM(P146)&lt;&gt;"",P146&lt;&gt;"None"))),ROW(),""))</f>
        <v/>
      </c>
      <c r="AC146" t="str">
        <f>IF(A146="","",IF(G146="Completed","Done",IF(G146="Blocked","Blocked",IF(X146="OVERDUE","Overdue",IF(AND(W146&lt;&gt;"",W146&lt;=2),"Due soon",IF(AND(Y146&lt;&gt;"",LEFT(Y146,1)="⏳",G146&lt;&gt;"Not Started"),"Dependency open",IF(AND(S146&lt;&gt;"None",S146&lt;&gt;"",G146&lt;&gt;"Completed"),"External req.","On track")))))))</f>
        <v/>
      </c>
    </row>
  </sheetData>
  <mergeCells count="2">
    <mergeCell ref="A2:AC2"/>
    <mergeCell ref="A1:AC1"/>
  </mergeCells>
  <hyperlinks>
    <hyperlink ref="G3" location="'Executive Dashboard'!A1"/>
    <hyperlink ref="I3" r:id="rId1"/>
    <hyperlink ref="K3" r:id="rId2"/>
  </hyperlinks>
  <pageMargins left="0.75" right="0.75" top="1" bottom="1" header="0.5" footer="0.5"/>
  <ignoredErrors>
    <ignoredError numberStoredAsText="1" sqref="A1:AC146"/>
  </ignoredErrors>
</worksheet>
</file>

<file path=xl/worksheets/sheet3.xml><?xml version="1.0" encoding="utf-8"?>
<worksheet xmlns="http://schemas.openxmlformats.org/spreadsheetml/2006/main" xmlns:r="http://schemas.openxmlformats.org/officeDocument/2006/relationships">
  <dimension ref="A1:S65"/>
  <sheetViews>
    <sheetView workbookViewId="0" rightToLeft="0"/>
  </sheetViews>
  <sheetData>
    <row r="1">
      <c r="A1" t="str">
        <v xml:space="preserve">  PHASE 1 — THEME FOUNDATION &amp; ASSET PIPELINE</v>
      </c>
    </row>
    <row r="2">
      <c r="A2" t="str">
        <v xml:space="preserve">  Window 12 Oct – 14 Oct 2026   ·   Status is read live from the Master Tracker (edit there)</v>
      </c>
    </row>
    <row r="3">
      <c r="A3" t="str">
        <v>← Dashboard</v>
      </c>
      <c r="D3" t="str">
        <v>Open Master Tracker →</v>
      </c>
      <c r="F3" t="str">
        <v>Staging ↗</v>
      </c>
    </row>
    <row r="5">
      <c r="A5" t="str">
        <v>COMPLETION</v>
      </c>
      <c r="D5" t="str">
        <v>PLANNED</v>
      </c>
      <c r="E5" t="str">
        <v>TASKS</v>
      </c>
      <c r="G5" t="str">
        <v>DONE</v>
      </c>
      <c r="H5" t="str">
        <v>IN PROGRESS</v>
      </c>
      <c r="J5" t="str">
        <v>BLOCKED</v>
      </c>
      <c r="L5" t="str">
        <v>OVERDUE</v>
      </c>
      <c r="M5" t="str">
        <v>IN REVIEW / TEST</v>
      </c>
      <c r="N5" t="str">
        <v>OPEN P0</v>
      </c>
      <c r="O5" t="str">
        <v>DEADLINE</v>
      </c>
      <c r="P5" t="str">
        <v>PHASE STATUS</v>
      </c>
    </row>
    <row r="6">
      <c r="A6">
        <f>IFERROR(SUMPRODUCT(('Master Tracker'!$B$6:$B$400="Phase 1")*'Master Tracker'!$U$6:$U$400)/COUNTIFS('Master Tracker'!$B$6:$B$400,"Phase 1",'Master Tracker'!$A$6:$A$400,"?*"),0)</f>
        <v>0.11764705882352941</v>
      </c>
      <c r="D6">
        <f>IFERROR(SUMPRODUCT(('Master Tracker'!$B$6:$B$400="Phase 1")*'Master Tracker'!$V$6:$V$400)/COUNTIFS('Master Tracker'!$B$6:$B$400,"Phase 1",'Master Tracker'!$A$6:$A$400,"?*"),0)</f>
        <v>0</v>
      </c>
      <c r="E6">
        <f>COUNTIFS('Master Tracker'!$B$6:$B$400,"Phase 1",'Master Tracker'!$A$6:$A$400,"?*")</f>
        <v>17</v>
      </c>
      <c r="G6">
        <f>COUNTIFS('Master Tracker'!$B$6:$B$400,"Phase 1",'Master Tracker'!$G$6:$G$400,"Completed")</f>
        <v>2</v>
      </c>
      <c r="H6">
        <f>COUNTIFS('Master Tracker'!$B$6:$B$400,"Phase 1",'Master Tracker'!$G$6:$G$400,"In Progress")</f>
        <v>0</v>
      </c>
      <c r="J6">
        <f>COUNTIFS('Master Tracker'!$B$6:$B$400,"Phase 1",'Master Tracker'!$G$6:$G$400,"Blocked")</f>
        <v>0</v>
      </c>
      <c r="L6">
        <f>COUNTIFS('Master Tracker'!$B$6:$B$400,"Phase 1",'Master Tracker'!$X$6:$X$400,"OVERDUE")</f>
        <v>0</v>
      </c>
      <c r="M6">
        <f>COUNTIFS('Master Tracker'!$B$6:$B$400,"Phase 1",'Master Tracker'!$G$6:$G$400,"In Review")+COUNTIFS('Master Tracker'!$B$6:$B$400,"Phase 1",'Master Tracker'!$G$6:$G$400,"Testing")</f>
        <v>0</v>
      </c>
      <c r="N6">
        <f>COUNTIFS('Master Tracker'!$B$6:$B$400,"Phase 1",'Master Tracker'!$F$6:$F$400,"P0",'Master Tracker'!$G$6:$G$400,"&lt;&gt;Completed",'Master Tracker'!$A$6:$A$400,"?*")</f>
        <v>12</v>
      </c>
      <c r="O6">
        <f>MAXIFS('Master Tracker'!$I$6:$I$400,'Master Tracker'!$B$6:$B$400,"Phase 1")</f>
        <v>46309</v>
      </c>
      <c r="P6" t="str">
        <f>IF(E6=0,"—",IF(G6=E6,"Complete",IF(J6&gt;0,"Blocked",IF(L6&gt;0,"Behind",IF(A6+0.1&lt;D6,"Behind",IF(A6&gt;0,"On Track","Not Started"))))))</f>
        <v>On Track</v>
      </c>
    </row>
    <row r="7">
      <c r="A7" t="str">
        <f>"Progress  "&amp;REPT("█",ROUND(A6*50,0))&amp;REPT("░",50-ROUND(A6*50,0))&amp;"  "&amp;TEXT(A6,"0%")&amp;"  (planned "&amp;TEXT(D6,"0%")&amp;")"</f>
        <v>Progress  ██████░░░░░░░░░░░░░░░░░░░░░░░░░░░░░░░░░░░░░░░░░░░░  12%  (planned 0%)</v>
      </c>
    </row>
    <row r="9">
      <c r="A9" t="str">
        <v xml:space="preserve">  PHASE GOAL</v>
      </c>
    </row>
    <row r="10">
      <c r="A10" t="str">
        <v>Build a clean, dependency-free custom WordPress theme (replacing JNews) with a modular PHP template system, a token-based CSS architecture, Vanilla JS modules, first-class Arabic RTL typography, responsive layouts, and performance primitives (query caching, Arabic date helpers) that every later phase reuses.</v>
      </c>
    </row>
    <row r="12">
      <c r="A12" t="str">
        <v xml:space="preserve">  DELIVERABLES</v>
      </c>
      <c r="J12" t="str">
        <v xml:space="preserve">  REQUIRED WORDPRESS FILES</v>
      </c>
    </row>
    <row r="13">
      <c r="A13" t="str">
        <v>▸ Custom theme 'altijara' activated on staging</v>
      </c>
      <c r="J13" t="str">
        <v>▸ style.css</v>
      </c>
    </row>
    <row r="14">
      <c r="A14" t="str">
        <v>▸ Theme initialization (supports, menus, image sizes, text domain)</v>
      </c>
      <c r="J14" t="str">
        <v>▸ functions.php</v>
      </c>
    </row>
    <row r="15">
      <c r="A15" t="str">
        <v>▸ Base PHP template hierarchy + reusable components</v>
      </c>
      <c r="J15" t="str">
        <v>▸ inc/setup.php</v>
      </c>
    </row>
    <row r="16">
      <c r="A16" t="str">
        <v>▸ CSS token architecture &amp; Vanilla JS module system</v>
      </c>
      <c r="J16" t="str">
        <v>▸ inc/enqueue.php</v>
      </c>
    </row>
    <row r="17">
      <c r="A17" t="str">
        <v>▸ RTL Arabic typography and responsive grid</v>
      </c>
      <c r="J17" t="str">
        <v>▸ inc/cache.php</v>
      </c>
    </row>
    <row r="18">
      <c r="A18" t="str">
        <v>▸ Header / navigation / footer</v>
      </c>
      <c r="J18" t="str">
        <v>▸ inc/helpers-date.php</v>
      </c>
    </row>
    <row r="19">
      <c r="A19" t="str">
        <v>▸ Query caching layer + Arabic date helpers</v>
      </c>
      <c r="J19" t="str">
        <v>▸ inc/media.php</v>
      </c>
    </row>
    <row r="20">
      <c r="A20" t="str">
        <v>▸ Git repository of theme (backup of staging work)</v>
      </c>
      <c r="J20" t="str">
        <v>▸ inc/widgets.php</v>
      </c>
    </row>
    <row r="21">
      <c r="J21" t="str">
        <v>▸ header.php / footer.php</v>
      </c>
    </row>
    <row r="22">
      <c r="J22" t="str">
        <v>▸ index.php, front-page.php, single.php, page.php</v>
      </c>
    </row>
    <row r="23">
      <c r="J23" t="str">
        <v>▸ archive.php, category.php, tag.php, author.php, search.php, 404.php</v>
      </c>
    </row>
    <row r="24">
      <c r="J24" t="str">
        <v>▸ template-parts/components/*.php</v>
      </c>
    </row>
    <row r="25">
      <c r="J25" t="str">
        <v>▸ assets/css/*.css, assets/js/*.js, assets/fonts/*</v>
      </c>
    </row>
    <row r="27">
      <c r="A27" t="str">
        <v xml:space="preserve">  TECHNICAL IMPLEMENTATION STEPS</v>
      </c>
    </row>
    <row r="28">
      <c r="A28">
        <v>1</v>
      </c>
      <c r="B28" t="str">
        <v>Audit staging access (hPanel, SFTP/SSH, phpMyAdmin), block indexing, enable debug log</v>
      </c>
    </row>
    <row r="29">
      <c r="A29">
        <v>2</v>
      </c>
      <c r="B29" t="str">
        <v>Scaffold /wp-content/themes/altijara/ and commit to Git</v>
      </c>
    </row>
    <row r="30">
      <c r="A30">
        <v>3</v>
      </c>
      <c r="B30" t="str">
        <v>Write inc/setup.php (theme supports, menus, image sizes)</v>
      </c>
    </row>
    <row r="31">
      <c r="A31">
        <v>4</v>
      </c>
      <c r="B31" t="str">
        <v>Write inc/enqueue.php with filemtime versioning and conditional loading</v>
      </c>
    </row>
    <row r="32">
      <c r="A32">
        <v>5</v>
      </c>
      <c r="B32" t="str">
        <v>Create template hierarchy skeletons and template-parts/components</v>
      </c>
    </row>
    <row r="33">
      <c r="A33">
        <v>6</v>
      </c>
      <c r="B33" t="str">
        <v>Build tokens.css → base → layout → components → utilities using logical properties</v>
      </c>
    </row>
    <row r="34">
      <c r="A34">
        <v>7</v>
      </c>
      <c r="B34" t="str">
        <v>Build main.js module loader (nav, drawer, search) without jQuery</v>
      </c>
    </row>
    <row r="35">
      <c r="A35">
        <v>8</v>
      </c>
      <c r="B35" t="str">
        <v>Self-host Arabic WOFF2 fonts, set dir=rtl / lang=ar</v>
      </c>
    </row>
    <row r="36">
      <c r="A36">
        <v>9</v>
      </c>
      <c r="B36" t="str">
        <v>Implement inc/cache.php with publish-time invalidation</v>
      </c>
    </row>
    <row r="37">
      <c r="A37">
        <v>10</v>
      </c>
      <c r="B37" t="str">
        <v>Implement inc/helpers-date.php; verify with Query Monitor and debug.log</v>
      </c>
    </row>
    <row r="39">
      <c r="A39" t="str">
        <v xml:space="preserve">  DETAILED TASK CHECKLIST   (live from Master Tracker — change Status / % there)</v>
      </c>
    </row>
    <row r="40">
      <c r="A40" t="str">
        <v>#</v>
      </c>
      <c r="B40" t="str">
        <v>Task ID</v>
      </c>
      <c r="C40" t="str">
        <v>Module</v>
      </c>
      <c r="D40" t="str">
        <v>Task</v>
      </c>
      <c r="E40" t="str">
        <v>Priority</v>
      </c>
      <c r="F40" t="str">
        <v>Status</v>
      </c>
      <c r="G40" t="str">
        <v>Start</v>
      </c>
      <c r="H40" t="str">
        <v>Due</v>
      </c>
      <c r="I40" t="str">
        <v>Complete</v>
      </c>
      <c r="J40" t="str">
        <v>Dependencies</v>
      </c>
      <c r="K40" t="str">
        <v>Dep. check</v>
      </c>
      <c r="L40" t="str">
        <v>WordPress files</v>
      </c>
      <c r="M40" t="str">
        <v>Acceptance criteria</v>
      </c>
      <c r="N40" t="str">
        <v>Testing checklist</v>
      </c>
      <c r="O40" t="str">
        <v>Test result</v>
      </c>
      <c r="P40" t="str">
        <v>Alert</v>
      </c>
    </row>
    <row r="41">
      <c r="A41">
        <v>1</v>
      </c>
      <c r="B41" t="str">
        <f>IF($S41="","",IF(INDEX('Master Tracker'!$A$6:$A$400,$S41)="","",INDEX('Master Tracker'!$A$6:$A$400,$S41)))</f>
        <v>P1-01</v>
      </c>
      <c r="C41" t="str">
        <f>IF($S41="","",IF(INDEX('Master Tracker'!$C$6:$C$400,$S41)="","",INDEX('Master Tracker'!$C$6:$C$400,$S41)))</f>
        <v>Staging Setup</v>
      </c>
      <c r="D41" t="str">
        <f>IF($S41="","",IF(INDEX('Master Tracker'!$D$6:$D$400,$S41)="","",INDEX('Master Tracker'!$D$6:$D$400,$S41)))</f>
        <v>Staging environment readiness audit</v>
      </c>
      <c r="E41" t="str">
        <f>IF($S41="","",IF(INDEX('Master Tracker'!$F$6:$F$400,$S41)="","",INDEX('Master Tracker'!$F$6:$F$400,$S41)))</f>
        <v>P0</v>
      </c>
      <c r="F41" t="str">
        <f>IF($S41="","",IF(INDEX('Master Tracker'!$G$6:$G$400,$S41)="","",INDEX('Master Tracker'!$G$6:$G$400,$S41)))</f>
        <v>Completed</v>
      </c>
      <c r="G41">
        <f>IF($S41="","",IF(INDEX('Master Tracker'!$H$6:$H$400,$S41)="","",INDEX('Master Tracker'!$H$6:$H$400,$S41)))</f>
        <v>46307</v>
      </c>
      <c r="H41">
        <f>IF($S41="","",IF(INDEX('Master Tracker'!$I$6:$I$400,$S41)="","",INDEX('Master Tracker'!$I$6:$I$400,$S41)))</f>
        <v>46307</v>
      </c>
      <c r="I41">
        <f>IF($S41="","",IF(INDEX('Master Tracker'!$U$6:$U$400,$S41)="","",INDEX('Master Tracker'!$U$6:$U$400,$S41)))</f>
        <v>1</v>
      </c>
      <c r="J41" t="str">
        <f>IF($S41="","",IF(INDEX('Master Tracker'!$K$6:$K$400,$S41)="","",INDEX('Master Tracker'!$K$6:$K$400,$S41)))</f>
        <v>P6-02</v>
      </c>
      <c r="K41" t="str">
        <f>IF($S41="","",IF(INDEX('Master Tracker'!$Y$6:$Y$400,$S41)="","",INDEX('Master Tracker'!$Y$6:$Y$400,$S41)))</f>
        <v>⏳ 1 open</v>
      </c>
      <c r="L41" t="str">
        <f>IF($S41="","",IF(INDEX('Master Tracker'!$M$6:$M$400,$S41)="","",INDEX('Master Tracker'!$M$6:$M$400,$S41)))</f>
        <v>wp-config.php, .htaccess</v>
      </c>
      <c r="M41" t="str">
        <f>IF($S41="","",IF(INDEX('Master Tracker'!$O$6:$O$400,$S41)="","",INDEX('Master Tracker'!$O$6:$O$400,$S41)))</f>
        <v>Staging is reachable only by the team, not indexed, debug logging active, versions documented in Notes</v>
      </c>
      <c r="N41" t="str">
        <f>IF($S41="","",IF(INDEX('Master Tracker'!$N$6:$N$400,$S41)="","",INDEX('Master Tracker'!$N$6:$N$400,$S41)))</f>
        <v>Log in via hPanel, SFTP and phpMyAdmin; confirm noindex header; send test mail is trapped</v>
      </c>
      <c r="O41" t="str">
        <f>IF($S41="","",IF(INDEX('Master Tracker'!$T$6:$T$400,$S41)="","",INDEX('Master Tracker'!$T$6:$T$400,$S41)))</f>
        <v>Not Tested</v>
      </c>
      <c r="P41" t="str">
        <f>IF($S41="","",IF(INDEX('Master Tracker'!$AC$6:$AC$400,$S41)="","",INDEX('Master Tracker'!$AC$6:$AC$400,$S41)))</f>
        <v>Done</v>
      </c>
      <c r="S41">
        <f>IFERROR(MATCH("Phase 1|"&amp;A41,'Master Tracker'!$Z$6:$Z$400,0),"")</f>
        <v>1</v>
      </c>
    </row>
    <row r="42">
      <c r="A42">
        <v>2</v>
      </c>
      <c r="B42" t="str">
        <f>IF($S42="","",IF(INDEX('Master Tracker'!$A$6:$A$400,$S42)="","",INDEX('Master Tracker'!$A$6:$A$400,$S42)))</f>
        <v>P1-02</v>
      </c>
      <c r="C42" t="str">
        <f>IF($S42="","",IF(INDEX('Master Tracker'!$C$6:$C$400,$S42)="","",INDEX('Master Tracker'!$C$6:$C$400,$S42)))</f>
        <v>Theme Scaffold</v>
      </c>
      <c r="D42" t="str">
        <f>IF($S42="","",IF(INDEX('Master Tracker'!$D$6:$D$400,$S42)="","",INDEX('Master Tracker'!$D$6:$D$400,$S42)))</f>
        <v>Create custom theme structure + Git repo</v>
      </c>
      <c r="E42" t="str">
        <f>IF($S42="","",IF(INDEX('Master Tracker'!$F$6:$F$400,$S42)="","",INDEX('Master Tracker'!$F$6:$F$400,$S42)))</f>
        <v>P0</v>
      </c>
      <c r="F42" t="str">
        <f>IF($S42="","",IF(INDEX('Master Tracker'!$G$6:$G$400,$S42)="","",INDEX('Master Tracker'!$G$6:$G$400,$S42)))</f>
        <v>Completed</v>
      </c>
      <c r="G42">
        <f>IF($S42="","",IF(INDEX('Master Tracker'!$H$6:$H$400,$S42)="","",INDEX('Master Tracker'!$H$6:$H$400,$S42)))</f>
        <v>46307</v>
      </c>
      <c r="H42">
        <f>IF($S42="","",IF(INDEX('Master Tracker'!$I$6:$I$400,$S42)="","",INDEX('Master Tracker'!$I$6:$I$400,$S42)))</f>
        <v>46307</v>
      </c>
      <c r="I42">
        <f>IF($S42="","",IF(INDEX('Master Tracker'!$U$6:$U$400,$S42)="","",INDEX('Master Tracker'!$U$6:$U$400,$S42)))</f>
        <v>1</v>
      </c>
      <c r="J42" t="str">
        <f>IF($S42="","",IF(INDEX('Master Tracker'!$K$6:$K$400,$S42)="","",INDEX('Master Tracker'!$K$6:$K$400,$S42)))</f>
        <v>P1-01</v>
      </c>
      <c r="K42" t="str">
        <f>IF($S42="","",IF(INDEX('Master Tracker'!$Y$6:$Y$400,$S42)="","",INDEX('Master Tracker'!$Y$6:$Y$400,$S42)))</f>
        <v>✓ Ready</v>
      </c>
      <c r="L42" t="str">
        <f>IF($S42="","",IF(INDEX('Master Tracker'!$M$6:$M$400,$S42)="","",INDEX('Master Tracker'!$M$6:$M$400,$S42)))</f>
        <v>style.css, functions.php, inc/, template-parts/, assets/</v>
      </c>
      <c r="M42" t="str">
        <f>IF($S42="","",IF(INDEX('Master Tracker'!$O$6:$O$400,$S42)="","",INDEX('Master Tracker'!$O$6:$O$400,$S42)))</f>
        <v>Folder structure in place, theme activates cleanly on staging, repository holds initial commit</v>
      </c>
      <c r="N42" t="str">
        <f>IF($S42="","",IF(INDEX('Master Tracker'!$N$6:$N$400,$S42)="","",INDEX('Master Tracker'!$N$6:$N$400,$S42)))</f>
        <v>Theme listed in Appearance &gt; Themes; activates with no PHP notices; first commit pushed</v>
      </c>
      <c r="O42" t="str">
        <f>IF($S42="","",IF(INDEX('Master Tracker'!$T$6:$T$400,$S42)="","",INDEX('Master Tracker'!$T$6:$T$400,$S42)))</f>
        <v>Not Tested</v>
      </c>
      <c r="P42" t="str">
        <f>IF($S42="","",IF(INDEX('Master Tracker'!$AC$6:$AC$400,$S42)="","",INDEX('Master Tracker'!$AC$6:$AC$400,$S42)))</f>
        <v>Done</v>
      </c>
      <c r="S42">
        <f>IFERROR(MATCH("Phase 1|"&amp;A42,'Master Tracker'!$Z$6:$Z$400,0),"")</f>
        <v>2</v>
      </c>
    </row>
    <row r="43">
      <c r="A43">
        <v>3</v>
      </c>
      <c r="B43" t="str">
        <f>IF($S43="","",IF(INDEX('Master Tracker'!$A$6:$A$400,$S43)="","",INDEX('Master Tracker'!$A$6:$A$400,$S43)))</f>
        <v>P1-03</v>
      </c>
      <c r="C43" t="str">
        <f>IF($S43="","",IF(INDEX('Master Tracker'!$C$6:$C$400,$S43)="","",INDEX('Master Tracker'!$C$6:$C$400,$S43)))</f>
        <v>Theme Initialization</v>
      </c>
      <c r="D43" t="str">
        <f>IF($S43="","",IF(INDEX('Master Tracker'!$D$6:$D$400,$S43)="","",INDEX('Master Tracker'!$D$6:$D$400,$S43)))</f>
        <v>Theme setup: supports, menus, image sizes</v>
      </c>
      <c r="E43" t="str">
        <f>IF($S43="","",IF(INDEX('Master Tracker'!$F$6:$F$400,$S43)="","",INDEX('Master Tracker'!$F$6:$F$400,$S43)))</f>
        <v>P0</v>
      </c>
      <c r="F43" t="str">
        <f>IF($S43="","",IF(INDEX('Master Tracker'!$G$6:$G$400,$S43)="","",INDEX('Master Tracker'!$G$6:$G$400,$S43)))</f>
        <v>Not Started</v>
      </c>
      <c r="G43">
        <f>IF($S43="","",IF(INDEX('Master Tracker'!$H$6:$H$400,$S43)="","",INDEX('Master Tracker'!$H$6:$H$400,$S43)))</f>
        <v>46307</v>
      </c>
      <c r="H43">
        <f>IF($S43="","",IF(INDEX('Master Tracker'!$I$6:$I$400,$S43)="","",INDEX('Master Tracker'!$I$6:$I$400,$S43)))</f>
        <v>46307</v>
      </c>
      <c r="I43">
        <f>IF($S43="","",IF(INDEX('Master Tracker'!$U$6:$U$400,$S43)="","",INDEX('Master Tracker'!$U$6:$U$400,$S43)))</f>
        <v>0</v>
      </c>
      <c r="J43" t="str">
        <f>IF($S43="","",IF(INDEX('Master Tracker'!$K$6:$K$400,$S43)="","",INDEX('Master Tracker'!$K$6:$K$400,$S43)))</f>
        <v>P1-02</v>
      </c>
      <c r="K43" t="str">
        <f>IF($S43="","",IF(INDEX('Master Tracker'!$Y$6:$Y$400,$S43)="","",INDEX('Master Tracker'!$Y$6:$Y$400,$S43)))</f>
        <v>✓ Ready</v>
      </c>
      <c r="L43" t="str">
        <f>IF($S43="","",IF(INDEX('Master Tracker'!$M$6:$M$400,$S43)="","",INDEX('Master Tracker'!$M$6:$M$400,$S43)))</f>
        <v>inc/setup.php, functions.php</v>
      </c>
      <c r="M43" t="str">
        <f>IF($S43="","",IF(INDEX('Master Tracker'!$O$6:$O$400,$S43)="","",INDEX('Master Tracker'!$O$6:$O$400,$S43)))</f>
        <v>All supports, menus and image sizes registered; no duplicate title tags</v>
      </c>
      <c r="N43" t="str">
        <f>IF($S43="","",IF(INDEX('Master Tracker'!$N$6:$N$400,$S43)="","",INDEX('Master Tracker'!$N$6:$N$400,$S43)))</f>
        <v>Menus appear in Appearance &gt; Menus; new upload generates all image sizes; single &lt;title&gt; tag</v>
      </c>
      <c r="O43" t="str">
        <f>IF($S43="","",IF(INDEX('Master Tracker'!$T$6:$T$400,$S43)="","",INDEX('Master Tracker'!$T$6:$T$400,$S43)))</f>
        <v>Not Tested</v>
      </c>
      <c r="P43" t="str">
        <f>IF($S43="","",IF(INDEX('Master Tracker'!$AC$6:$AC$400,$S43)="","",INDEX('Master Tracker'!$AC$6:$AC$400,$S43)))</f>
        <v>Due soon</v>
      </c>
      <c r="S43">
        <f>IFERROR(MATCH("Phase 1|"&amp;A43,'Master Tracker'!$Z$6:$Z$400,0),"")</f>
        <v>3</v>
      </c>
    </row>
    <row r="44">
      <c r="A44">
        <v>4</v>
      </c>
      <c r="B44" t="str">
        <f>IF($S44="","",IF(INDEX('Master Tracker'!$A$6:$A$400,$S44)="","",INDEX('Master Tracker'!$A$6:$A$400,$S44)))</f>
        <v>P1-04</v>
      </c>
      <c r="C44" t="str">
        <f>IF($S44="","",IF(INDEX('Master Tracker'!$C$6:$C$400,$S44)="","",INDEX('Master Tracker'!$C$6:$C$400,$S44)))</f>
        <v>Asset Pipeline</v>
      </c>
      <c r="D44" t="str">
        <f>IF($S44="","",IF(INDEX('Master Tracker'!$D$6:$D$400,$S44)="","",INDEX('Master Tracker'!$D$6:$D$400,$S44)))</f>
        <v>Asset enqueue, versioning &amp; conditional loading</v>
      </c>
      <c r="E44" t="str">
        <f>IF($S44="","",IF(INDEX('Master Tracker'!$F$6:$F$400,$S44)="","",INDEX('Master Tracker'!$F$6:$F$400,$S44)))</f>
        <v>P0</v>
      </c>
      <c r="F44" t="str">
        <f>IF($S44="","",IF(INDEX('Master Tracker'!$G$6:$G$400,$S44)="","",INDEX('Master Tracker'!$G$6:$G$400,$S44)))</f>
        <v>Not Started</v>
      </c>
      <c r="G44">
        <f>IF($S44="","",IF(INDEX('Master Tracker'!$H$6:$H$400,$S44)="","",INDEX('Master Tracker'!$H$6:$H$400,$S44)))</f>
        <v>46307</v>
      </c>
      <c r="H44">
        <f>IF($S44="","",IF(INDEX('Master Tracker'!$I$6:$I$400,$S44)="","",INDEX('Master Tracker'!$I$6:$I$400,$S44)))</f>
        <v>46307</v>
      </c>
      <c r="I44">
        <f>IF($S44="","",IF(INDEX('Master Tracker'!$U$6:$U$400,$S44)="","",INDEX('Master Tracker'!$U$6:$U$400,$S44)))</f>
        <v>0</v>
      </c>
      <c r="J44" t="str">
        <f>IF($S44="","",IF(INDEX('Master Tracker'!$K$6:$K$400,$S44)="","",INDEX('Master Tracker'!$K$6:$K$400,$S44)))</f>
        <v>P1-02</v>
      </c>
      <c r="K44" t="str">
        <f>IF($S44="","",IF(INDEX('Master Tracker'!$Y$6:$Y$400,$S44)="","",INDEX('Master Tracker'!$Y$6:$Y$400,$S44)))</f>
        <v>✓ Ready</v>
      </c>
      <c r="L44" t="str">
        <f>IF($S44="","",IF(INDEX('Master Tracker'!$M$6:$M$400,$S44)="","",INDEX('Master Tracker'!$M$6:$M$400,$S44)))</f>
        <v>inc/enqueue.php, assets/css/*, assets/js/*</v>
      </c>
      <c r="M44" t="str">
        <f>IF($S44="","",IF(INDEX('Master Tracker'!$O$6:$O$400,$S44)="","",INDEX('Master Tracker'!$O$6:$O$400,$S44)))</f>
        <v>All assets versioned and loaded only where needed; zero console errors</v>
      </c>
      <c r="N44" t="str">
        <f>IF($S44="","",IF(INDEX('Master Tracker'!$N$6:$N$400,$S44)="","",INDEX('Master Tracker'!$N$6:$N$400,$S44)))</f>
        <v>View source: versioned URLs, deferred scripts; Network tab shows no 404s and no jQuery on homepage</v>
      </c>
      <c r="O44" t="str">
        <f>IF($S44="","",IF(INDEX('Master Tracker'!$T$6:$T$400,$S44)="","",INDEX('Master Tracker'!$T$6:$T$400,$S44)))</f>
        <v>Not Tested</v>
      </c>
      <c r="P44" t="str">
        <f>IF($S44="","",IF(INDEX('Master Tracker'!$AC$6:$AC$400,$S44)="","",INDEX('Master Tracker'!$AC$6:$AC$400,$S44)))</f>
        <v>Due soon</v>
      </c>
      <c r="S44">
        <f>IFERROR(MATCH("Phase 1|"&amp;A44,'Master Tracker'!$Z$6:$Z$400,0),"")</f>
        <v>4</v>
      </c>
    </row>
    <row r="45">
      <c r="A45">
        <v>5</v>
      </c>
      <c r="B45" t="str">
        <f>IF($S45="","",IF(INDEX('Master Tracker'!$A$6:$A$400,$S45)="","",INDEX('Master Tracker'!$A$6:$A$400,$S45)))</f>
        <v>P1-05</v>
      </c>
      <c r="C45" t="str">
        <f>IF($S45="","",IF(INDEX('Master Tracker'!$C$6:$C$400,$S45)="","",INDEX('Master Tracker'!$C$6:$C$400,$S45)))</f>
        <v>PHP Templates</v>
      </c>
      <c r="D45" t="str">
        <f>IF($S45="","",IF(INDEX('Master Tracker'!$D$6:$D$400,$S45)="","",INDEX('Master Tracker'!$D$6:$D$400,$S45)))</f>
        <v>Base template hierarchy</v>
      </c>
      <c r="E45" t="str">
        <f>IF($S45="","",IF(INDEX('Master Tracker'!$F$6:$F$400,$S45)="","",INDEX('Master Tracker'!$F$6:$F$400,$S45)))</f>
        <v>P0</v>
      </c>
      <c r="F45" t="str">
        <f>IF($S45="","",IF(INDEX('Master Tracker'!$G$6:$G$400,$S45)="","",INDEX('Master Tracker'!$G$6:$G$400,$S45)))</f>
        <v>Not Started</v>
      </c>
      <c r="G45">
        <f>IF($S45="","",IF(INDEX('Master Tracker'!$H$6:$H$400,$S45)="","",INDEX('Master Tracker'!$H$6:$H$400,$S45)))</f>
        <v>46307</v>
      </c>
      <c r="H45">
        <f>IF($S45="","",IF(INDEX('Master Tracker'!$I$6:$I$400,$S45)="","",INDEX('Master Tracker'!$I$6:$I$400,$S45)))</f>
        <v>46307</v>
      </c>
      <c r="I45">
        <f>IF($S45="","",IF(INDEX('Master Tracker'!$U$6:$U$400,$S45)="","",INDEX('Master Tracker'!$U$6:$U$400,$S45)))</f>
        <v>0</v>
      </c>
      <c r="J45" t="str">
        <f>IF($S45="","",IF(INDEX('Master Tracker'!$K$6:$K$400,$S45)="","",INDEX('Master Tracker'!$K$6:$K$400,$S45)))</f>
        <v>P1-03</v>
      </c>
      <c r="K45" t="str">
        <f>IF($S45="","",IF(INDEX('Master Tracker'!$Y$6:$Y$400,$S45)="","",INDEX('Master Tracker'!$Y$6:$Y$400,$S45)))</f>
        <v>⏳ 1 open</v>
      </c>
      <c r="L45" t="str">
        <f>IF($S45="","",IF(INDEX('Master Tracker'!$M$6:$M$400,$S45)="","",INDEX('Master Tracker'!$M$6:$M$400,$S45)))</f>
        <v>header.php, footer.php, index.php, front-page.php, single.php, page.php, archive.php, category.php, tag.php, author.php, search.php, 404.php</v>
      </c>
      <c r="M45" t="str">
        <f>IF($S45="","",IF(INDEX('Master Tracker'!$O$6:$O$400,$S45)="","",INDEX('Master Tracker'!$O$6:$O$400,$S45)))</f>
        <v>Every WordPress route resolves to a theme template with header/footer; no fallback errors</v>
      </c>
      <c r="N45" t="str">
        <f>IF($S45="","",IF(INDEX('Master Tracker'!$N$6:$N$400,$S45)="","",INDEX('Master Tracker'!$N$6:$N$400,$S45)))</f>
        <v>Visit each route type; Query Monitor confirms expected template file</v>
      </c>
      <c r="O45" t="str">
        <f>IF($S45="","",IF(INDEX('Master Tracker'!$T$6:$T$400,$S45)="","",INDEX('Master Tracker'!$T$6:$T$400,$S45)))</f>
        <v>Not Tested</v>
      </c>
      <c r="P45" t="str">
        <f>IF($S45="","",IF(INDEX('Master Tracker'!$AC$6:$AC$400,$S45)="","",INDEX('Master Tracker'!$AC$6:$AC$400,$S45)))</f>
        <v>Due soon</v>
      </c>
      <c r="S45">
        <f>IFERROR(MATCH("Phase 1|"&amp;A45,'Master Tracker'!$Z$6:$Z$400,0),"")</f>
        <v>5</v>
      </c>
    </row>
    <row r="46">
      <c r="A46">
        <v>6</v>
      </c>
      <c r="B46" t="str">
        <f>IF($S46="","",IF(INDEX('Master Tracker'!$A$6:$A$400,$S46)="","",INDEX('Master Tracker'!$A$6:$A$400,$S46)))</f>
        <v>P1-06</v>
      </c>
      <c r="C46" t="str">
        <f>IF($S46="","",IF(INDEX('Master Tracker'!$C$6:$C$400,$S46)="","",INDEX('Master Tracker'!$C$6:$C$400,$S46)))</f>
        <v>Components</v>
      </c>
      <c r="D46" t="str">
        <f>IF($S46="","",IF(INDEX('Master Tracker'!$D$6:$D$400,$S46)="","",INDEX('Master Tracker'!$D$6:$D$400,$S46)))</f>
        <v>Reusable template-part components</v>
      </c>
      <c r="E46" t="str">
        <f>IF($S46="","",IF(INDEX('Master Tracker'!$F$6:$F$400,$S46)="","",INDEX('Master Tracker'!$F$6:$F$400,$S46)))</f>
        <v>P0</v>
      </c>
      <c r="F46" t="str">
        <f>IF($S46="","",IF(INDEX('Master Tracker'!$G$6:$G$400,$S46)="","",INDEX('Master Tracker'!$G$6:$G$400,$S46)))</f>
        <v>Not Started</v>
      </c>
      <c r="G46">
        <f>IF($S46="","",IF(INDEX('Master Tracker'!$H$6:$H$400,$S46)="","",INDEX('Master Tracker'!$H$6:$H$400,$S46)))</f>
        <v>46307</v>
      </c>
      <c r="H46">
        <f>IF($S46="","",IF(INDEX('Master Tracker'!$I$6:$I$400,$S46)="","",INDEX('Master Tracker'!$I$6:$I$400,$S46)))</f>
        <v>46307</v>
      </c>
      <c r="I46">
        <f>IF($S46="","",IF(INDEX('Master Tracker'!$U$6:$U$400,$S46)="","",INDEX('Master Tracker'!$U$6:$U$400,$S46)))</f>
        <v>0</v>
      </c>
      <c r="J46" t="str">
        <f>IF($S46="","",IF(INDEX('Master Tracker'!$K$6:$K$400,$S46)="","",INDEX('Master Tracker'!$K$6:$K$400,$S46)))</f>
        <v>P1-05</v>
      </c>
      <c r="K46" t="str">
        <f>IF($S46="","",IF(INDEX('Master Tracker'!$Y$6:$Y$400,$S46)="","",INDEX('Master Tracker'!$Y$6:$Y$400,$S46)))</f>
        <v>⏳ 1 open</v>
      </c>
      <c r="L46" t="str">
        <f>IF($S46="","",IF(INDEX('Master Tracker'!$M$6:$M$400,$S46)="","",INDEX('Master Tracker'!$M$6:$M$400,$S46)))</f>
        <v>template-parts/components/*.php</v>
      </c>
      <c r="M46" t="str">
        <f>IF($S46="","",IF(INDEX('Master Tracker'!$O$6:$O$400,$S46)="","",INDEX('Master Tracker'!$O$6:$O$400,$S46)))</f>
        <v>Components reused by homepage and archives with no duplicated markup; all output escaped</v>
      </c>
      <c r="N46" t="str">
        <f>IF($S46="","",IF(INDEX('Master Tracker'!$N$6:$N$400,$S46)="","",INDEX('Master Tracker'!$N$6:$N$400,$S46)))</f>
        <v>Render every component on a test page with real posts; test missing image/excerpt; check escaping</v>
      </c>
      <c r="O46" t="str">
        <f>IF($S46="","",IF(INDEX('Master Tracker'!$T$6:$T$400,$S46)="","",INDEX('Master Tracker'!$T$6:$T$400,$S46)))</f>
        <v>Not Tested</v>
      </c>
      <c r="P46" t="str">
        <f>IF($S46="","",IF(INDEX('Master Tracker'!$AC$6:$AC$400,$S46)="","",INDEX('Master Tracker'!$AC$6:$AC$400,$S46)))</f>
        <v>Due soon</v>
      </c>
      <c r="S46">
        <f>IFERROR(MATCH("Phase 1|"&amp;A46,'Master Tracker'!$Z$6:$Z$400,0),"")</f>
        <v>6</v>
      </c>
    </row>
    <row r="47">
      <c r="A47">
        <v>7</v>
      </c>
      <c r="B47" t="str">
        <f>IF($S47="","",IF(INDEX('Master Tracker'!$A$6:$A$400,$S47)="","",INDEX('Master Tracker'!$A$6:$A$400,$S47)))</f>
        <v>P1-07</v>
      </c>
      <c r="C47" t="str">
        <f>IF($S47="","",IF(INDEX('Master Tracker'!$C$6:$C$400,$S47)="","",INDEX('Master Tracker'!$C$6:$C$400,$S47)))</f>
        <v>CSS Architecture</v>
      </c>
      <c r="D47" t="str">
        <f>IF($S47="","",IF(INDEX('Master Tracker'!$D$6:$D$400,$S47)="","",INDEX('Master Tracker'!$D$6:$D$400,$S47)))</f>
        <v>CSS architecture &amp; design tokens</v>
      </c>
      <c r="E47" t="str">
        <f>IF($S47="","",IF(INDEX('Master Tracker'!$F$6:$F$400,$S47)="","",INDEX('Master Tracker'!$F$6:$F$400,$S47)))</f>
        <v>P0</v>
      </c>
      <c r="F47" t="str">
        <f>IF($S47="","",IF(INDEX('Master Tracker'!$G$6:$G$400,$S47)="","",INDEX('Master Tracker'!$G$6:$G$400,$S47)))</f>
        <v>Not Started</v>
      </c>
      <c r="G47">
        <f>IF($S47="","",IF(INDEX('Master Tracker'!$H$6:$H$400,$S47)="","",INDEX('Master Tracker'!$H$6:$H$400,$S47)))</f>
        <v>46307</v>
      </c>
      <c r="H47">
        <f>IF($S47="","",IF(INDEX('Master Tracker'!$I$6:$I$400,$S47)="","",INDEX('Master Tracker'!$I$6:$I$400,$S47)))</f>
        <v>46308</v>
      </c>
      <c r="I47">
        <f>IF($S47="","",IF(INDEX('Master Tracker'!$U$6:$U$400,$S47)="","",INDEX('Master Tracker'!$U$6:$U$400,$S47)))</f>
        <v>0</v>
      </c>
      <c r="J47" t="str">
        <f>IF($S47="","",IF(INDEX('Master Tracker'!$K$6:$K$400,$S47)="","",INDEX('Master Tracker'!$K$6:$K$400,$S47)))</f>
        <v>P1-04</v>
      </c>
      <c r="K47" t="str">
        <f>IF($S47="","",IF(INDEX('Master Tracker'!$Y$6:$Y$400,$S47)="","",INDEX('Master Tracker'!$Y$6:$Y$400,$S47)))</f>
        <v>⏳ 1 open</v>
      </c>
      <c r="L47" t="str">
        <f>IF($S47="","",IF(INDEX('Master Tracker'!$M$6:$M$400,$S47)="","",INDEX('Master Tracker'!$M$6:$M$400,$S47)))</f>
        <v>assets/css/tokens.css, base.css, layout.css, components.css, utilities.css</v>
      </c>
      <c r="M47" t="str">
        <f>IF($S47="","",IF(INDEX('Master Tracker'!$O$6:$O$400,$S47)="","",INDEX('Master Tracker'!$O$6:$O$400,$S47)))</f>
        <v>Single token source; consistent styling; total CSS within agreed budget (target &lt; 100 KB uncompressed)</v>
      </c>
      <c r="N47" t="str">
        <f>IF($S47="","",IF(INDEX('Master Tracker'!$N$6:$N$400,$S47)="","",INDEX('Master Tracker'!$N$6:$N$400,$S47)))</f>
        <v>Inspect computed styles use tokens; RTL correct without separate override file; CSS size checked</v>
      </c>
      <c r="O47" t="str">
        <f>IF($S47="","",IF(INDEX('Master Tracker'!$T$6:$T$400,$S47)="","",INDEX('Master Tracker'!$T$6:$T$400,$S47)))</f>
        <v>Not Tested</v>
      </c>
      <c r="P47" t="str">
        <f>IF($S47="","",IF(INDEX('Master Tracker'!$AC$6:$AC$400,$S47)="","",INDEX('Master Tracker'!$AC$6:$AC$400,$S47)))</f>
        <v>Due soon</v>
      </c>
      <c r="S47">
        <f>IFERROR(MATCH("Phase 1|"&amp;A47,'Master Tracker'!$Z$6:$Z$400,0),"")</f>
        <v>7</v>
      </c>
    </row>
    <row r="48">
      <c r="A48">
        <v>8</v>
      </c>
      <c r="B48" t="str">
        <f>IF($S48="","",IF(INDEX('Master Tracker'!$A$6:$A$400,$S48)="","",INDEX('Master Tracker'!$A$6:$A$400,$S48)))</f>
        <v>P1-08</v>
      </c>
      <c r="C48" t="str">
        <f>IF($S48="","",IF(INDEX('Master Tracker'!$C$6:$C$400,$S48)="","",INDEX('Master Tracker'!$C$6:$C$400,$S48)))</f>
        <v>Vanilla JS</v>
      </c>
      <c r="D48" t="str">
        <f>IF($S48="","",IF(INDEX('Master Tracker'!$D$6:$D$400,$S48)="","",INDEX('Master Tracker'!$D$6:$D$400,$S48)))</f>
        <v>Vanilla JS module architecture</v>
      </c>
      <c r="E48" t="str">
        <f>IF($S48="","",IF(INDEX('Master Tracker'!$F$6:$F$400,$S48)="","",INDEX('Master Tracker'!$F$6:$F$400,$S48)))</f>
        <v>P0</v>
      </c>
      <c r="F48" t="str">
        <f>IF($S48="","",IF(INDEX('Master Tracker'!$G$6:$G$400,$S48)="","",INDEX('Master Tracker'!$G$6:$G$400,$S48)))</f>
        <v>Not Started</v>
      </c>
      <c r="G48">
        <f>IF($S48="","",IF(INDEX('Master Tracker'!$H$6:$H$400,$S48)="","",INDEX('Master Tracker'!$H$6:$H$400,$S48)))</f>
        <v>46308</v>
      </c>
      <c r="H48">
        <f>IF($S48="","",IF(INDEX('Master Tracker'!$I$6:$I$400,$S48)="","",INDEX('Master Tracker'!$I$6:$I$400,$S48)))</f>
        <v>46308</v>
      </c>
      <c r="I48">
        <f>IF($S48="","",IF(INDEX('Master Tracker'!$U$6:$U$400,$S48)="","",INDEX('Master Tracker'!$U$6:$U$400,$S48)))</f>
        <v>0</v>
      </c>
      <c r="J48" t="str">
        <f>IF($S48="","",IF(INDEX('Master Tracker'!$K$6:$K$400,$S48)="","",INDEX('Master Tracker'!$K$6:$K$400,$S48)))</f>
        <v>P1-04</v>
      </c>
      <c r="K48" t="str">
        <f>IF($S48="","",IF(INDEX('Master Tracker'!$Y$6:$Y$400,$S48)="","",INDEX('Master Tracker'!$Y$6:$Y$400,$S48)))</f>
        <v>⏳ 1 open</v>
      </c>
      <c r="L48" t="str">
        <f>IF($S48="","",IF(INDEX('Master Tracker'!$M$6:$M$400,$S48)="","",INDEX('Master Tracker'!$M$6:$M$400,$S48)))</f>
        <v>assets/js/main.js, assets/js/modules/*.js</v>
      </c>
      <c r="M48" t="str">
        <f>IF($S48="","",IF(INDEX('Master Tracker'!$O$6:$O$400,$S48)="","",INDEX('Master Tracker'!$O$6:$O$400,$S48)))</f>
        <v>All interactions implemented in Vanilla JS; zero console errors; scripts deferred</v>
      </c>
      <c r="N48" t="str">
        <f>IF($S48="","",IF(INDEX('Master Tracker'!$N$6:$N$400,$S48)="","",INDEX('Master Tracker'!$N$6:$N$400,$S48)))</f>
        <v>Console clean on Chrome &amp; Safari; page usable with JS disabled</v>
      </c>
      <c r="O48" t="str">
        <f>IF($S48="","",IF(INDEX('Master Tracker'!$T$6:$T$400,$S48)="","",INDEX('Master Tracker'!$T$6:$T$400,$S48)))</f>
        <v>Not Tested</v>
      </c>
      <c r="P48" t="str">
        <f>IF($S48="","",IF(INDEX('Master Tracker'!$AC$6:$AC$400,$S48)="","",INDEX('Master Tracker'!$AC$6:$AC$400,$S48)))</f>
        <v>Due soon</v>
      </c>
      <c r="S48">
        <f>IFERROR(MATCH("Phase 1|"&amp;A48,'Master Tracker'!$Z$6:$Z$400,0),"")</f>
        <v>8</v>
      </c>
    </row>
    <row r="49">
      <c r="A49">
        <v>9</v>
      </c>
      <c r="B49" t="str">
        <f>IF($S49="","",IF(INDEX('Master Tracker'!$A$6:$A$400,$S49)="","",INDEX('Master Tracker'!$A$6:$A$400,$S49)))</f>
        <v>P1-09</v>
      </c>
      <c r="C49" t="str">
        <f>IF($S49="","",IF(INDEX('Master Tracker'!$C$6:$C$400,$S49)="","",INDEX('Master Tracker'!$C$6:$C$400,$S49)))</f>
        <v>RTL Typography</v>
      </c>
      <c r="D49" t="str">
        <f>IF($S49="","",IF(INDEX('Master Tracker'!$D$6:$D$400,$S49)="","",INDEX('Master Tracker'!$D$6:$D$400,$S49)))</f>
        <v>RTL layout &amp; Arabic typography</v>
      </c>
      <c r="E49" t="str">
        <f>IF($S49="","",IF(INDEX('Master Tracker'!$F$6:$F$400,$S49)="","",INDEX('Master Tracker'!$F$6:$F$400,$S49)))</f>
        <v>P0</v>
      </c>
      <c r="F49" t="str">
        <f>IF($S49="","",IF(INDEX('Master Tracker'!$G$6:$G$400,$S49)="","",INDEX('Master Tracker'!$G$6:$G$400,$S49)))</f>
        <v>Not Started</v>
      </c>
      <c r="G49">
        <f>IF($S49="","",IF(INDEX('Master Tracker'!$H$6:$H$400,$S49)="","",INDEX('Master Tracker'!$H$6:$H$400,$S49)))</f>
        <v>46308</v>
      </c>
      <c r="H49">
        <f>IF($S49="","",IF(INDEX('Master Tracker'!$I$6:$I$400,$S49)="","",INDEX('Master Tracker'!$I$6:$I$400,$S49)))</f>
        <v>46308</v>
      </c>
      <c r="I49">
        <f>IF($S49="","",IF(INDEX('Master Tracker'!$U$6:$U$400,$S49)="","",INDEX('Master Tracker'!$U$6:$U$400,$S49)))</f>
        <v>0</v>
      </c>
      <c r="J49" t="str">
        <f>IF($S49="","",IF(INDEX('Master Tracker'!$K$6:$K$400,$S49)="","",INDEX('Master Tracker'!$K$6:$K$400,$S49)))</f>
        <v>P1-07</v>
      </c>
      <c r="K49" t="str">
        <f>IF($S49="","",IF(INDEX('Master Tracker'!$Y$6:$Y$400,$S49)="","",INDEX('Master Tracker'!$Y$6:$Y$400,$S49)))</f>
        <v>⏳ 1 open</v>
      </c>
      <c r="L49" t="str">
        <f>IF($S49="","",IF(INDEX('Master Tracker'!$M$6:$M$400,$S49)="","",INDEX('Master Tracker'!$M$6:$M$400,$S49)))</f>
        <v>assets/fonts/*, assets/css/base.css, header.php</v>
      </c>
      <c r="M49" t="str">
        <f>IF($S49="","",IF(INDEX('Master Tracker'!$O$6:$O$400,$S49)="","",INDEX('Master Tracker'!$O$6:$O$400,$S49)))</f>
        <v>Correct RTL direction site-wide; fonts self-hosted; no layout shift from font swap</v>
      </c>
      <c r="N49" t="str">
        <f>IF($S49="","",IF(INDEX('Master Tracker'!$N$6:$N$400,$S49)="","",INDEX('Master Tracker'!$N$6:$N$400,$S49)))</f>
        <v>Headlines/body render in Arabic font on iOS, Android, desktop; no invisible text flash; mixed strings align</v>
      </c>
      <c r="O49" t="str">
        <f>IF($S49="","",IF(INDEX('Master Tracker'!$T$6:$T$400,$S49)="","",INDEX('Master Tracker'!$T$6:$T$400,$S49)))</f>
        <v>Not Tested</v>
      </c>
      <c r="P49" t="str">
        <f>IF($S49="","",IF(INDEX('Master Tracker'!$AC$6:$AC$400,$S49)="","",INDEX('Master Tracker'!$AC$6:$AC$400,$S49)))</f>
        <v>Due soon</v>
      </c>
      <c r="S49">
        <f>IFERROR(MATCH("Phase 1|"&amp;A49,'Master Tracker'!$Z$6:$Z$400,0),"")</f>
        <v>9</v>
      </c>
    </row>
    <row r="50">
      <c r="A50">
        <v>10</v>
      </c>
      <c r="B50" t="str">
        <f>IF($S50="","",IF(INDEX('Master Tracker'!$A$6:$A$400,$S50)="","",INDEX('Master Tracker'!$A$6:$A$400,$S50)))</f>
        <v>P1-10</v>
      </c>
      <c r="C50" t="str">
        <f>IF($S50="","",IF(INDEX('Master Tracker'!$C$6:$C$400,$S50)="","",INDEX('Master Tracker'!$C$6:$C$400,$S50)))</f>
        <v>Responsive Design</v>
      </c>
      <c r="D50" t="str">
        <f>IF($S50="","",IF(INDEX('Master Tracker'!$D$6:$D$400,$S50)="","",INDEX('Master Tracker'!$D$6:$D$400,$S50)))</f>
        <v>Responsive grid &amp; breakpoints</v>
      </c>
      <c r="E50" t="str">
        <f>IF($S50="","",IF(INDEX('Master Tracker'!$F$6:$F$400,$S50)="","",INDEX('Master Tracker'!$F$6:$F$400,$S50)))</f>
        <v>P0</v>
      </c>
      <c r="F50" t="str">
        <f>IF($S50="","",IF(INDEX('Master Tracker'!$G$6:$G$400,$S50)="","",INDEX('Master Tracker'!$G$6:$G$400,$S50)))</f>
        <v>Not Started</v>
      </c>
      <c r="G50">
        <f>IF($S50="","",IF(INDEX('Master Tracker'!$H$6:$H$400,$S50)="","",INDEX('Master Tracker'!$H$6:$H$400,$S50)))</f>
        <v>46308</v>
      </c>
      <c r="H50">
        <f>IF($S50="","",IF(INDEX('Master Tracker'!$I$6:$I$400,$S50)="","",INDEX('Master Tracker'!$I$6:$I$400,$S50)))</f>
        <v>46308</v>
      </c>
      <c r="I50">
        <f>IF($S50="","",IF(INDEX('Master Tracker'!$U$6:$U$400,$S50)="","",INDEX('Master Tracker'!$U$6:$U$400,$S50)))</f>
        <v>0</v>
      </c>
      <c r="J50" t="str">
        <f>IF($S50="","",IF(INDEX('Master Tracker'!$K$6:$K$400,$S50)="","",INDEX('Master Tracker'!$K$6:$K$400,$S50)))</f>
        <v>P1-07</v>
      </c>
      <c r="K50" t="str">
        <f>IF($S50="","",IF(INDEX('Master Tracker'!$Y$6:$Y$400,$S50)="","",INDEX('Master Tracker'!$Y$6:$Y$400,$S50)))</f>
        <v>⏳ 1 open</v>
      </c>
      <c r="L50" t="str">
        <f>IF($S50="","",IF(INDEX('Master Tracker'!$M$6:$M$400,$S50)="","",INDEX('Master Tracker'!$M$6:$M$400,$S50)))</f>
        <v>assets/css/layout.css</v>
      </c>
      <c r="M50" t="str">
        <f>IF($S50="","",IF(INDEX('Master Tracker'!$O$6:$O$400,$S50)="","",INDEX('Master Tracker'!$O$6:$O$400,$S50)))</f>
        <v>All layouts usable at 360 px; no overflow; correctly sized images</v>
      </c>
      <c r="N50" t="str">
        <f>IF($S50="","",IF(INDEX('Master Tracker'!$N$6:$N$400,$S50)="","",INDEX('Master Tracker'!$N$6:$N$400,$S50)))</f>
        <v>Test 360, 414, 768, 1024, 1440 px widths; no horizontal scroll</v>
      </c>
      <c r="O50" t="str">
        <f>IF($S50="","",IF(INDEX('Master Tracker'!$T$6:$T$400,$S50)="","",INDEX('Master Tracker'!$T$6:$T$400,$S50)))</f>
        <v>Not Tested</v>
      </c>
      <c r="P50" t="str">
        <f>IF($S50="","",IF(INDEX('Master Tracker'!$AC$6:$AC$400,$S50)="","",INDEX('Master Tracker'!$AC$6:$AC$400,$S50)))</f>
        <v>Due soon</v>
      </c>
      <c r="S50">
        <f>IFERROR(MATCH("Phase 1|"&amp;A50,'Master Tracker'!$Z$6:$Z$400,0),"")</f>
        <v>10</v>
      </c>
    </row>
    <row r="51">
      <c r="A51">
        <v>11</v>
      </c>
      <c r="B51" t="str">
        <f>IF($S51="","",IF(INDEX('Master Tracker'!$A$6:$A$400,$S51)="","",INDEX('Master Tracker'!$A$6:$A$400,$S51)))</f>
        <v>P1-11</v>
      </c>
      <c r="C51" t="str">
        <f>IF($S51="","",IF(INDEX('Master Tracker'!$C$6:$C$400,$S51)="","",INDEX('Master Tracker'!$C$6:$C$400,$S51)))</f>
        <v>Header &amp; Navigation</v>
      </c>
      <c r="D51" t="str">
        <f>IF($S51="","",IF(INDEX('Master Tracker'!$D$6:$D$400,$S51)="","",INDEX('Master Tracker'!$D$6:$D$400,$S51)))</f>
        <v>Header, navigation, mobile drawer &amp; search</v>
      </c>
      <c r="E51" t="str">
        <f>IF($S51="","",IF(INDEX('Master Tracker'!$F$6:$F$400,$S51)="","",INDEX('Master Tracker'!$F$6:$F$400,$S51)))</f>
        <v>P0</v>
      </c>
      <c r="F51" t="str">
        <f>IF($S51="","",IF(INDEX('Master Tracker'!$G$6:$G$400,$S51)="","",INDEX('Master Tracker'!$G$6:$G$400,$S51)))</f>
        <v>Not Started</v>
      </c>
      <c r="G51">
        <f>IF($S51="","",IF(INDEX('Master Tracker'!$H$6:$H$400,$S51)="","",INDEX('Master Tracker'!$H$6:$H$400,$S51)))</f>
        <v>46308</v>
      </c>
      <c r="H51">
        <f>IF($S51="","",IF(INDEX('Master Tracker'!$I$6:$I$400,$S51)="","",INDEX('Master Tracker'!$I$6:$I$400,$S51)))</f>
        <v>46309</v>
      </c>
      <c r="I51">
        <f>IF($S51="","",IF(INDEX('Master Tracker'!$U$6:$U$400,$S51)="","",INDEX('Master Tracker'!$U$6:$U$400,$S51)))</f>
        <v>0</v>
      </c>
      <c r="J51" t="str">
        <f>IF($S51="","",IF(INDEX('Master Tracker'!$K$6:$K$400,$S51)="","",INDEX('Master Tracker'!$K$6:$K$400,$S51)))</f>
        <v>P1-06, P1-08, P1-15</v>
      </c>
      <c r="K51" t="str">
        <f>IF($S51="","",IF(INDEX('Master Tracker'!$Y$6:$Y$400,$S51)="","",INDEX('Master Tracker'!$Y$6:$Y$400,$S51)))</f>
        <v>⏳ 3 open</v>
      </c>
      <c r="L51" t="str">
        <f>IF($S51="","",IF(INDEX('Master Tracker'!$M$6:$M$400,$S51)="","",INDEX('Master Tracker'!$M$6:$M$400,$S51)))</f>
        <v>header.php, template-parts/header/*.php, assets/js/modules/nav.js</v>
      </c>
      <c r="M51" t="str">
        <f>IF($S51="","",IF(INDEX('Master Tracker'!$O$6:$O$400,$S51)="","",INDEX('Master Tracker'!$O$6:$O$400,$S51)))</f>
        <v>Navigation works on touch and keyboard; fully managed from WordPress menus</v>
      </c>
      <c r="N51" t="str">
        <f>IF($S51="","",IF(INDEX('Master Tracker'!$N$6:$N$400,$S51)="","",INDEX('Master Tracker'!$N$6:$N$400,$S51)))</f>
        <v>Drawer opens/closes, Esc closes, focus trapped; search submits; menu edited in WP admin updates header</v>
      </c>
      <c r="O51" t="str">
        <f>IF($S51="","",IF(INDEX('Master Tracker'!$T$6:$T$400,$S51)="","",INDEX('Master Tracker'!$T$6:$T$400,$S51)))</f>
        <v>Not Tested</v>
      </c>
      <c r="P51" t="str">
        <f>IF($S51="","",IF(INDEX('Master Tracker'!$AC$6:$AC$400,$S51)="","",INDEX('Master Tracker'!$AC$6:$AC$400,$S51)))</f>
        <v>On track</v>
      </c>
      <c r="S51">
        <f>IFERROR(MATCH("Phase 1|"&amp;A51,'Master Tracker'!$Z$6:$Z$400,0),"")</f>
        <v>11</v>
      </c>
    </row>
    <row r="52">
      <c r="A52">
        <v>12</v>
      </c>
      <c r="B52" t="str">
        <f>IF($S52="","",IF(INDEX('Master Tracker'!$A$6:$A$400,$S52)="","",INDEX('Master Tracker'!$A$6:$A$400,$S52)))</f>
        <v>P1-12</v>
      </c>
      <c r="C52" t="str">
        <f>IF($S52="","",IF(INDEX('Master Tracker'!$C$6:$C$400,$S52)="","",INDEX('Master Tracker'!$C$6:$C$400,$S52)))</f>
        <v>Footer</v>
      </c>
      <c r="D52" t="str">
        <f>IF($S52="","",IF(INDEX('Master Tracker'!$D$6:$D$400,$S52)="","",INDEX('Master Tracker'!$D$6:$D$400,$S52)))</f>
        <v>Footer with editable menus &amp; social links</v>
      </c>
      <c r="E52" t="str">
        <f>IF($S52="","",IF(INDEX('Master Tracker'!$F$6:$F$400,$S52)="","",INDEX('Master Tracker'!$F$6:$F$400,$S52)))</f>
        <v>P1</v>
      </c>
      <c r="F52" t="str">
        <f>IF($S52="","",IF(INDEX('Master Tracker'!$G$6:$G$400,$S52)="","",INDEX('Master Tracker'!$G$6:$G$400,$S52)))</f>
        <v>Not Started</v>
      </c>
      <c r="G52">
        <f>IF($S52="","",IF(INDEX('Master Tracker'!$H$6:$H$400,$S52)="","",INDEX('Master Tracker'!$H$6:$H$400,$S52)))</f>
        <v>46309</v>
      </c>
      <c r="H52">
        <f>IF($S52="","",IF(INDEX('Master Tracker'!$I$6:$I$400,$S52)="","",INDEX('Master Tracker'!$I$6:$I$400,$S52)))</f>
        <v>46309</v>
      </c>
      <c r="I52">
        <f>IF($S52="","",IF(INDEX('Master Tracker'!$U$6:$U$400,$S52)="","",INDEX('Master Tracker'!$U$6:$U$400,$S52)))</f>
        <v>0</v>
      </c>
      <c r="J52" t="str">
        <f>IF($S52="","",IF(INDEX('Master Tracker'!$K$6:$K$400,$S52)="","",INDEX('Master Tracker'!$K$6:$K$400,$S52)))</f>
        <v>P1-06</v>
      </c>
      <c r="K52" t="str">
        <f>IF($S52="","",IF(INDEX('Master Tracker'!$Y$6:$Y$400,$S52)="","",INDEX('Master Tracker'!$Y$6:$Y$400,$S52)))</f>
        <v>⏳ 1 open</v>
      </c>
      <c r="L52" t="str">
        <f>IF($S52="","",IF(INDEX('Master Tracker'!$M$6:$M$400,$S52)="","",INDEX('Master Tracker'!$M$6:$M$400,$S52)))</f>
        <v>footer.php, template-parts/footer/*.php</v>
      </c>
      <c r="M52" t="str">
        <f>IF($S52="","",IF(INDEX('Master Tracker'!$O$6:$O$400,$S52)="","",INDEX('Master Tracker'!$O$6:$O$400,$S52)))</f>
        <v>Footer content editable without code</v>
      </c>
      <c r="N52" t="str">
        <f>IF($S52="","",IF(INDEX('Master Tracker'!$N$6:$N$400,$S52)="","",INDEX('Master Tracker'!$N$6:$N$400,$S52)))</f>
        <v>All links resolve; social URLs editable in Customizer</v>
      </c>
      <c r="O52" t="str">
        <f>IF($S52="","",IF(INDEX('Master Tracker'!$T$6:$T$400,$S52)="","",INDEX('Master Tracker'!$T$6:$T$400,$S52)))</f>
        <v>Not Tested</v>
      </c>
      <c r="P52" t="str">
        <f>IF($S52="","",IF(INDEX('Master Tracker'!$AC$6:$AC$400,$S52)="","",INDEX('Master Tracker'!$AC$6:$AC$400,$S52)))</f>
        <v>On track</v>
      </c>
      <c r="S52">
        <f>IFERROR(MATCH("Phase 1|"&amp;A52,'Master Tracker'!$Z$6:$Z$400,0),"")</f>
        <v>12</v>
      </c>
    </row>
    <row r="53">
      <c r="A53">
        <v>13</v>
      </c>
      <c r="B53" t="str">
        <f>IF($S53="","",IF(INDEX('Master Tracker'!$A$6:$A$400,$S53)="","",INDEX('Master Tracker'!$A$6:$A$400,$S53)))</f>
        <v>P1-13</v>
      </c>
      <c r="C53" t="str">
        <f>IF($S53="","",IF(INDEX('Master Tracker'!$C$6:$C$400,$S53)="","",INDEX('Master Tracker'!$C$6:$C$400,$S53)))</f>
        <v>WordPress Integration</v>
      </c>
      <c r="D53" t="str">
        <f>IF($S53="","",IF(INDEX('Master Tracker'!$D$6:$D$400,$S53)="","",INDEX('Master Tracker'!$D$6:$D$400,$S53)))</f>
        <v>Core WordPress integration &amp; editor styles</v>
      </c>
      <c r="E53" t="str">
        <f>IF($S53="","",IF(INDEX('Master Tracker'!$F$6:$F$400,$S53)="","",INDEX('Master Tracker'!$F$6:$F$400,$S53)))</f>
        <v>P0</v>
      </c>
      <c r="F53" t="str">
        <f>IF($S53="","",IF(INDEX('Master Tracker'!$G$6:$G$400,$S53)="","",INDEX('Master Tracker'!$G$6:$G$400,$S53)))</f>
        <v>Not Started</v>
      </c>
      <c r="G53">
        <f>IF($S53="","",IF(INDEX('Master Tracker'!$H$6:$H$400,$S53)="","",INDEX('Master Tracker'!$H$6:$H$400,$S53)))</f>
        <v>46309</v>
      </c>
      <c r="H53">
        <f>IF($S53="","",IF(INDEX('Master Tracker'!$I$6:$I$400,$S53)="","",INDEX('Master Tracker'!$I$6:$I$400,$S53)))</f>
        <v>46309</v>
      </c>
      <c r="I53">
        <f>IF($S53="","",IF(INDEX('Master Tracker'!$U$6:$U$400,$S53)="","",INDEX('Master Tracker'!$U$6:$U$400,$S53)))</f>
        <v>0</v>
      </c>
      <c r="J53" t="str">
        <f>IF($S53="","",IF(INDEX('Master Tracker'!$K$6:$K$400,$S53)="","",INDEX('Master Tracker'!$K$6:$K$400,$S53)))</f>
        <v>P1-05</v>
      </c>
      <c r="K53" t="str">
        <f>IF($S53="","",IF(INDEX('Master Tracker'!$Y$6:$Y$400,$S53)="","",INDEX('Master Tracker'!$Y$6:$Y$400,$S53)))</f>
        <v>⏳ 1 open</v>
      </c>
      <c r="L53" t="str">
        <f>IF($S53="","",IF(INDEX('Master Tracker'!$M$6:$M$400,$S53)="","",INDEX('Master Tracker'!$M$6:$M$400,$S53)))</f>
        <v>functions.php, inc/widgets.php, assets/css/editor-style.css</v>
      </c>
      <c r="M53" t="str">
        <f>IF($S53="","",IF(INDEX('Master Tracker'!$O$6:$O$400,$S53)="","",INDEX('Master Tracker'!$O$6:$O$400,$S53)))</f>
        <v>Theme compatible with WordPress core and active plugins; no missing hooks</v>
      </c>
      <c r="N53" t="str">
        <f>IF($S53="","",IF(INDEX('Master Tracker'!$N$6:$N$400,$S53)="","",INDEX('Master Tracker'!$N$6:$N$400,$S53)))</f>
        <v>SEO and LiteSpeed plugins inject head tags; widgets render; editor preview matches front end</v>
      </c>
      <c r="O53" t="str">
        <f>IF($S53="","",IF(INDEX('Master Tracker'!$T$6:$T$400,$S53)="","",INDEX('Master Tracker'!$T$6:$T$400,$S53)))</f>
        <v>Not Tested</v>
      </c>
      <c r="P53" t="str">
        <f>IF($S53="","",IF(INDEX('Master Tracker'!$AC$6:$AC$400,$S53)="","",INDEX('Master Tracker'!$AC$6:$AC$400,$S53)))</f>
        <v>On track</v>
      </c>
      <c r="S53">
        <f>IFERROR(MATCH("Phase 1|"&amp;A53,'Master Tracker'!$Z$6:$Z$400,0),"")</f>
        <v>13</v>
      </c>
    </row>
    <row r="54">
      <c r="A54">
        <v>14</v>
      </c>
      <c r="B54" t="str">
        <f>IF($S54="","",IF(INDEX('Master Tracker'!$A$6:$A$400,$S54)="","",INDEX('Master Tracker'!$A$6:$A$400,$S54)))</f>
        <v>P1-14</v>
      </c>
      <c r="C54" t="str">
        <f>IF($S54="","",IF(INDEX('Master Tracker'!$C$6:$C$400,$S54)="","",INDEX('Master Tracker'!$C$6:$C$400,$S54)))</f>
        <v>Query Caching</v>
      </c>
      <c r="D54" t="str">
        <f>IF($S54="","",IF(INDEX('Master Tracker'!$D$6:$D$400,$S54)="","",INDEX('Master Tracker'!$D$6:$D$400,$S54)))</f>
        <v>Query caching layer with auto-invalidation</v>
      </c>
      <c r="E54" t="str">
        <f>IF($S54="","",IF(INDEX('Master Tracker'!$F$6:$F$400,$S54)="","",INDEX('Master Tracker'!$F$6:$F$400,$S54)))</f>
        <v>P0</v>
      </c>
      <c r="F54" t="str">
        <f>IF($S54="","",IF(INDEX('Master Tracker'!$G$6:$G$400,$S54)="","",INDEX('Master Tracker'!$G$6:$G$400,$S54)))</f>
        <v>Not Started</v>
      </c>
      <c r="G54">
        <f>IF($S54="","",IF(INDEX('Master Tracker'!$H$6:$H$400,$S54)="","",INDEX('Master Tracker'!$H$6:$H$400,$S54)))</f>
        <v>46309</v>
      </c>
      <c r="H54">
        <f>IF($S54="","",IF(INDEX('Master Tracker'!$I$6:$I$400,$S54)="","",INDEX('Master Tracker'!$I$6:$I$400,$S54)))</f>
        <v>46309</v>
      </c>
      <c r="I54">
        <f>IF($S54="","",IF(INDEX('Master Tracker'!$U$6:$U$400,$S54)="","",INDEX('Master Tracker'!$U$6:$U$400,$S54)))</f>
        <v>0</v>
      </c>
      <c r="J54" t="str">
        <f>IF($S54="","",IF(INDEX('Master Tracker'!$K$6:$K$400,$S54)="","",INDEX('Master Tracker'!$K$6:$K$400,$S54)))</f>
        <v>P1-03</v>
      </c>
      <c r="K54" t="str">
        <f>IF($S54="","",IF(INDEX('Master Tracker'!$Y$6:$Y$400,$S54)="","",INDEX('Master Tracker'!$Y$6:$Y$400,$S54)))</f>
        <v>⏳ 1 open</v>
      </c>
      <c r="L54" t="str">
        <f>IF($S54="","",IF(INDEX('Master Tracker'!$M$6:$M$400,$S54)="","",INDEX('Master Tracker'!$M$6:$M$400,$S54)))</f>
        <v>inc/cache.php</v>
      </c>
      <c r="M54" t="str">
        <f>IF($S54="","",IF(INDEX('Master Tracker'!$O$6:$O$400,$S54)="","",INDEX('Master Tracker'!$O$6:$O$400,$S54)))</f>
        <v>Homepage warm-cache DB queries within target (≤ 40); no stale content after publish</v>
      </c>
      <c r="N54" t="str">
        <f>IF($S54="","",IF(INDEX('Master Tracker'!$N$6:$N$400,$S54)="","",INDEX('Master Tracker'!$N$6:$N$400,$S54)))</f>
        <v>Query Monitor shows reduced queries on warm load; publishing a post refreshes affected sections immediately</v>
      </c>
      <c r="O54" t="str">
        <f>IF($S54="","",IF(INDEX('Master Tracker'!$T$6:$T$400,$S54)="","",INDEX('Master Tracker'!$T$6:$T$400,$S54)))</f>
        <v>Not Tested</v>
      </c>
      <c r="P54" t="str">
        <f>IF($S54="","",IF(INDEX('Master Tracker'!$AC$6:$AC$400,$S54)="","",INDEX('Master Tracker'!$AC$6:$AC$400,$S54)))</f>
        <v>On track</v>
      </c>
      <c r="S54">
        <f>IFERROR(MATCH("Phase 1|"&amp;A54,'Master Tracker'!$Z$6:$Z$400,0),"")</f>
        <v>14</v>
      </c>
    </row>
    <row r="55">
      <c r="A55">
        <v>15</v>
      </c>
      <c r="B55" t="str">
        <f>IF($S55="","",IF(INDEX('Master Tracker'!$A$6:$A$400,$S55)="","",INDEX('Master Tracker'!$A$6:$A$400,$S55)))</f>
        <v>P1-15</v>
      </c>
      <c r="C55" t="str">
        <f>IF($S55="","",IF(INDEX('Master Tracker'!$C$6:$C$400,$S55)="","",INDEX('Master Tracker'!$C$6:$C$400,$S55)))</f>
        <v>Date Helpers</v>
      </c>
      <c r="D55" t="str">
        <f>IF($S55="","",IF(INDEX('Master Tracker'!$D$6:$D$400,$S55)="","",INDEX('Master Tracker'!$D$6:$D$400,$S55)))</f>
        <v>Arabic date, relative time &amp; reading-time helpers</v>
      </c>
      <c r="E55" t="str">
        <f>IF($S55="","",IF(INDEX('Master Tracker'!$F$6:$F$400,$S55)="","",INDEX('Master Tracker'!$F$6:$F$400,$S55)))</f>
        <v>P1</v>
      </c>
      <c r="F55" t="str">
        <f>IF($S55="","",IF(INDEX('Master Tracker'!$G$6:$G$400,$S55)="","",INDEX('Master Tracker'!$G$6:$G$400,$S55)))</f>
        <v>Not Started</v>
      </c>
      <c r="G55">
        <f>IF($S55="","",IF(INDEX('Master Tracker'!$H$6:$H$400,$S55)="","",INDEX('Master Tracker'!$H$6:$H$400,$S55)))</f>
        <v>46309</v>
      </c>
      <c r="H55">
        <f>IF($S55="","",IF(INDEX('Master Tracker'!$I$6:$I$400,$S55)="","",INDEX('Master Tracker'!$I$6:$I$400,$S55)))</f>
        <v>46309</v>
      </c>
      <c r="I55">
        <f>IF($S55="","",IF(INDEX('Master Tracker'!$U$6:$U$400,$S55)="","",INDEX('Master Tracker'!$U$6:$U$400,$S55)))</f>
        <v>0</v>
      </c>
      <c r="J55" t="str">
        <f>IF($S55="","",IF(INDEX('Master Tracker'!$K$6:$K$400,$S55)="","",INDEX('Master Tracker'!$K$6:$K$400,$S55)))</f>
        <v>P1-03</v>
      </c>
      <c r="K55" t="str">
        <f>IF($S55="","",IF(INDEX('Master Tracker'!$Y$6:$Y$400,$S55)="","",INDEX('Master Tracker'!$Y$6:$Y$400,$S55)))</f>
        <v>⏳ 1 open</v>
      </c>
      <c r="L55" t="str">
        <f>IF($S55="","",IF(INDEX('Master Tracker'!$M$6:$M$400,$S55)="","",INDEX('Master Tracker'!$M$6:$M$400,$S55)))</f>
        <v>inc/helpers-date.php</v>
      </c>
      <c r="M55" t="str">
        <f>IF($S55="","",IF(INDEX('Master Tracker'!$O$6:$O$400,$S55)="","",INDEX('Master Tracker'!$O$6:$O$400,$S55)))</f>
        <v>All templates use helpers; dates correct in site timezone</v>
      </c>
      <c r="N55" t="str">
        <f>IF($S55="","",IF(INDEX('Master Tracker'!$N$6:$N$400,$S55)="","",INDEX('Master Tracker'!$N$6:$N$400,$S55)))</f>
        <v>Check outputs for today, yesterday, last month and last year in site timezone</v>
      </c>
      <c r="O55" t="str">
        <f>IF($S55="","",IF(INDEX('Master Tracker'!$T$6:$T$400,$S55)="","",INDEX('Master Tracker'!$T$6:$T$400,$S55)))</f>
        <v>Not Tested</v>
      </c>
      <c r="P55" t="str">
        <f>IF($S55="","",IF(INDEX('Master Tracker'!$AC$6:$AC$400,$S55)="","",INDEX('Master Tracker'!$AC$6:$AC$400,$S55)))</f>
        <v>On track</v>
      </c>
      <c r="S55">
        <f>IFERROR(MATCH("Phase 1|"&amp;A55,'Master Tracker'!$Z$6:$Z$400,0),"")</f>
        <v>15</v>
      </c>
    </row>
    <row r="56">
      <c r="A56">
        <v>16</v>
      </c>
      <c r="B56" t="str">
        <f>IF($S56="","",IF(INDEX('Master Tracker'!$A$6:$A$400,$S56)="","",INDEX('Master Tracker'!$A$6:$A$400,$S56)))</f>
        <v>P1-16</v>
      </c>
      <c r="C56" t="str">
        <f>IF($S56="","",IF(INDEX('Master Tracker'!$C$6:$C$400,$S56)="","",INDEX('Master Tracker'!$C$6:$C$400,$S56)))</f>
        <v>Media</v>
      </c>
      <c r="D56" t="str">
        <f>IF($S56="","",IF(INDEX('Master Tracker'!$D$6:$D$400,$S56)="","",INDEX('Master Tracker'!$D$6:$D$400,$S56)))</f>
        <v>Image handling, lazy-load &amp; fallbacks</v>
      </c>
      <c r="E56" t="str">
        <f>IF($S56="","",IF(INDEX('Master Tracker'!$F$6:$F$400,$S56)="","",INDEX('Master Tracker'!$F$6:$F$400,$S56)))</f>
        <v>P1</v>
      </c>
      <c r="F56" t="str">
        <f>IF($S56="","",IF(INDEX('Master Tracker'!$G$6:$G$400,$S56)="","",INDEX('Master Tracker'!$G$6:$G$400,$S56)))</f>
        <v>Not Started</v>
      </c>
      <c r="G56">
        <f>IF($S56="","",IF(INDEX('Master Tracker'!$H$6:$H$400,$S56)="","",INDEX('Master Tracker'!$H$6:$H$400,$S56)))</f>
        <v>46309</v>
      </c>
      <c r="H56">
        <f>IF($S56="","",IF(INDEX('Master Tracker'!$I$6:$I$400,$S56)="","",INDEX('Master Tracker'!$I$6:$I$400,$S56)))</f>
        <v>46309</v>
      </c>
      <c r="I56">
        <f>IF($S56="","",IF(INDEX('Master Tracker'!$U$6:$U$400,$S56)="","",INDEX('Master Tracker'!$U$6:$U$400,$S56)))</f>
        <v>0</v>
      </c>
      <c r="J56" t="str">
        <f>IF($S56="","",IF(INDEX('Master Tracker'!$K$6:$K$400,$S56)="","",INDEX('Master Tracker'!$K$6:$K$400,$S56)))</f>
        <v>P1-06</v>
      </c>
      <c r="K56" t="str">
        <f>IF($S56="","",IF(INDEX('Master Tracker'!$Y$6:$Y$400,$S56)="","",INDEX('Master Tracker'!$Y$6:$Y$400,$S56)))</f>
        <v>⏳ 1 open</v>
      </c>
      <c r="L56" t="str">
        <f>IF($S56="","",IF(INDEX('Master Tracker'!$M$6:$M$400,$S56)="","",INDEX('Master Tracker'!$M$6:$M$400,$S56)))</f>
        <v>inc/media.php, template-parts/components/*</v>
      </c>
      <c r="M56" t="str">
        <f>IF($S56="","",IF(INDEX('Master Tracker'!$O$6:$O$400,$S56)="","",INDEX('Master Tracker'!$O$6:$O$400,$S56)))</f>
        <v>Every card shows an image or fallback; CLS &lt; 0.1 on archives</v>
      </c>
      <c r="N56" t="str">
        <f>IF($S56="","",IF(INDEX('Master Tracker'!$N$6:$N$400,$S56)="","",INDEX('Master Tracker'!$N$6:$N$400,$S56)))</f>
        <v>Legacy post without featured image shows fallback; no layout shift on card grids</v>
      </c>
      <c r="O56" t="str">
        <f>IF($S56="","",IF(INDEX('Master Tracker'!$T$6:$T$400,$S56)="","",INDEX('Master Tracker'!$T$6:$T$400,$S56)))</f>
        <v>Not Tested</v>
      </c>
      <c r="P56" t="str">
        <f>IF($S56="","",IF(INDEX('Master Tracker'!$AC$6:$AC$400,$S56)="","",INDEX('Master Tracker'!$AC$6:$AC$400,$S56)))</f>
        <v>On track</v>
      </c>
      <c r="S56">
        <f>IFERROR(MATCH("Phase 1|"&amp;A56,'Master Tracker'!$Z$6:$Z$400,0),"")</f>
        <v>16</v>
      </c>
    </row>
    <row r="57">
      <c r="A57">
        <v>17</v>
      </c>
      <c r="B57" t="str">
        <f>IF($S57="","",IF(INDEX('Master Tracker'!$A$6:$A$400,$S57)="","",INDEX('Master Tracker'!$A$6:$A$400,$S57)))</f>
        <v>P1-17</v>
      </c>
      <c r="C57" t="str">
        <f>IF($S57="","",IF(INDEX('Master Tracker'!$C$6:$C$400,$S57)="","",INDEX('Master Tracker'!$C$6:$C$400,$S57)))</f>
        <v>Phase QA</v>
      </c>
      <c r="D57" t="str">
        <f>IF($S57="","",IF(INDEX('Master Tracker'!$D$6:$D$400,$S57)="","",INDEX('Master Tracker'!$D$6:$D$400,$S57)))</f>
        <v>Phase 1 verification &amp; tag v0.1</v>
      </c>
      <c r="E57" t="str">
        <f>IF($S57="","",IF(INDEX('Master Tracker'!$F$6:$F$400,$S57)="","",INDEX('Master Tracker'!$F$6:$F$400,$S57)))</f>
        <v>P0</v>
      </c>
      <c r="F57" t="str">
        <f>IF($S57="","",IF(INDEX('Master Tracker'!$G$6:$G$400,$S57)="","",INDEX('Master Tracker'!$G$6:$G$400,$S57)))</f>
        <v>Not Started</v>
      </c>
      <c r="G57">
        <f>IF($S57="","",IF(INDEX('Master Tracker'!$H$6:$H$400,$S57)="","",INDEX('Master Tracker'!$H$6:$H$400,$S57)))</f>
        <v>46309</v>
      </c>
      <c r="H57">
        <f>IF($S57="","",IF(INDEX('Master Tracker'!$I$6:$I$400,$S57)="","",INDEX('Master Tracker'!$I$6:$I$400,$S57)))</f>
        <v>46309</v>
      </c>
      <c r="I57">
        <f>IF($S57="","",IF(INDEX('Master Tracker'!$U$6:$U$400,$S57)="","",INDEX('Master Tracker'!$U$6:$U$400,$S57)))</f>
        <v>0</v>
      </c>
      <c r="J57" t="str">
        <f>IF($S57="","",IF(INDEX('Master Tracker'!$K$6:$K$400,$S57)="","",INDEX('Master Tracker'!$K$6:$K$400,$S57)))</f>
        <v>P1-11, P1-13, P1-14, P1-16</v>
      </c>
      <c r="K57" t="str">
        <f>IF($S57="","",IF(INDEX('Master Tracker'!$Y$6:$Y$400,$S57)="","",INDEX('Master Tracker'!$Y$6:$Y$400,$S57)))</f>
        <v>⏳ 4 open</v>
      </c>
      <c r="L57" t="str">
        <f>IF($S57="","",IF(INDEX('Master Tracker'!$M$6:$M$400,$S57)="","",INDEX('Master Tracker'!$M$6:$M$400,$S57)))</f>
        <v>debug.log</v>
      </c>
      <c r="M57" t="str">
        <f>IF($S57="","",IF(INDEX('Master Tracker'!$O$6:$O$400,$S57)="","",INDEX('Master Tracker'!$O$6:$O$400,$S57)))</f>
        <v>Foundation signed off; Phase 2 can start</v>
      </c>
      <c r="N57" t="str">
        <f>IF($S57="","",IF(INDEX('Master Tracker'!$N$6:$N$400,$S57)="","",INDEX('Master Tracker'!$N$6:$N$400,$S57)))</f>
        <v>debug.log has no theme notices; all templates load</v>
      </c>
      <c r="O57" t="str">
        <f>IF($S57="","",IF(INDEX('Master Tracker'!$T$6:$T$400,$S57)="","",INDEX('Master Tracker'!$T$6:$T$400,$S57)))</f>
        <v>Not Tested</v>
      </c>
      <c r="P57" t="str">
        <f>IF($S57="","",IF(INDEX('Master Tracker'!$AC$6:$AC$400,$S57)="","",INDEX('Master Tracker'!$AC$6:$AC$400,$S57)))</f>
        <v>On track</v>
      </c>
      <c r="S57">
        <f>IFERROR(MATCH("Phase 1|"&amp;A57,'Master Tracker'!$Z$6:$Z$400,0),"")</f>
        <v>17</v>
      </c>
    </row>
    <row r="58">
      <c r="A58">
        <v>18</v>
      </c>
      <c r="B58" t="str">
        <f>IF($S58="","",IF(INDEX('Master Tracker'!$A$6:$A$400,$S58)="","",INDEX('Master Tracker'!$A$6:$A$400,$S58)))</f>
        <v/>
      </c>
      <c r="C58" t="str">
        <f>IF($S58="","",IF(INDEX('Master Tracker'!$C$6:$C$400,$S58)="","",INDEX('Master Tracker'!$C$6:$C$400,$S58)))</f>
        <v/>
      </c>
      <c r="D58" t="str">
        <f>IF($S58="","",IF(INDEX('Master Tracker'!$D$6:$D$400,$S58)="","",INDEX('Master Tracker'!$D$6:$D$400,$S58)))</f>
        <v/>
      </c>
      <c r="E58" t="str">
        <f>IF($S58="","",IF(INDEX('Master Tracker'!$F$6:$F$400,$S58)="","",INDEX('Master Tracker'!$F$6:$F$400,$S58)))</f>
        <v/>
      </c>
      <c r="F58" t="str">
        <f>IF($S58="","",IF(INDEX('Master Tracker'!$G$6:$G$400,$S58)="","",INDEX('Master Tracker'!$G$6:$G$400,$S58)))</f>
        <v/>
      </c>
      <c r="G58" t="str">
        <f>IF($S58="","",IF(INDEX('Master Tracker'!$H$6:$H$400,$S58)="","",INDEX('Master Tracker'!$H$6:$H$400,$S58)))</f>
        <v/>
      </c>
      <c r="H58" t="str">
        <f>IF($S58="","",IF(INDEX('Master Tracker'!$I$6:$I$400,$S58)="","",INDEX('Master Tracker'!$I$6:$I$400,$S58)))</f>
        <v/>
      </c>
      <c r="I58" t="str">
        <f>IF($S58="","",IF(INDEX('Master Tracker'!$U$6:$U$400,$S58)="","",INDEX('Master Tracker'!$U$6:$U$400,$S58)))</f>
        <v/>
      </c>
      <c r="J58" t="str">
        <f>IF($S58="","",IF(INDEX('Master Tracker'!$K$6:$K$400,$S58)="","",INDEX('Master Tracker'!$K$6:$K$400,$S58)))</f>
        <v/>
      </c>
      <c r="K58" t="str">
        <f>IF($S58="","",IF(INDEX('Master Tracker'!$Y$6:$Y$400,$S58)="","",INDEX('Master Tracker'!$Y$6:$Y$400,$S58)))</f>
        <v/>
      </c>
      <c r="L58" t="str">
        <f>IF($S58="","",IF(INDEX('Master Tracker'!$M$6:$M$400,$S58)="","",INDEX('Master Tracker'!$M$6:$M$400,$S58)))</f>
        <v/>
      </c>
      <c r="M58" t="str">
        <f>IF($S58="","",IF(INDEX('Master Tracker'!$O$6:$O$400,$S58)="","",INDEX('Master Tracker'!$O$6:$O$400,$S58)))</f>
        <v/>
      </c>
      <c r="N58" t="str">
        <f>IF($S58="","",IF(INDEX('Master Tracker'!$N$6:$N$400,$S58)="","",INDEX('Master Tracker'!$N$6:$N$400,$S58)))</f>
        <v/>
      </c>
      <c r="O58" t="str">
        <f>IF($S58="","",IF(INDEX('Master Tracker'!$T$6:$T$400,$S58)="","",INDEX('Master Tracker'!$T$6:$T$400,$S58)))</f>
        <v/>
      </c>
      <c r="P58" t="str">
        <f>IF($S58="","",IF(INDEX('Master Tracker'!$AC$6:$AC$400,$S58)="","",INDEX('Master Tracker'!$AC$6:$AC$400,$S58)))</f>
        <v/>
      </c>
      <c r="S58" t="str">
        <f>IFERROR(MATCH("Phase 1|"&amp;A58,'Master Tracker'!$Z$6:$Z$400,0),"")</f>
        <v/>
      </c>
    </row>
    <row r="59">
      <c r="A59">
        <v>19</v>
      </c>
      <c r="B59" t="str">
        <f>IF($S59="","",IF(INDEX('Master Tracker'!$A$6:$A$400,$S59)="","",INDEX('Master Tracker'!$A$6:$A$400,$S59)))</f>
        <v/>
      </c>
      <c r="C59" t="str">
        <f>IF($S59="","",IF(INDEX('Master Tracker'!$C$6:$C$400,$S59)="","",INDEX('Master Tracker'!$C$6:$C$400,$S59)))</f>
        <v/>
      </c>
      <c r="D59" t="str">
        <f>IF($S59="","",IF(INDEX('Master Tracker'!$D$6:$D$400,$S59)="","",INDEX('Master Tracker'!$D$6:$D$400,$S59)))</f>
        <v/>
      </c>
      <c r="E59" t="str">
        <f>IF($S59="","",IF(INDEX('Master Tracker'!$F$6:$F$400,$S59)="","",INDEX('Master Tracker'!$F$6:$F$400,$S59)))</f>
        <v/>
      </c>
      <c r="F59" t="str">
        <f>IF($S59="","",IF(INDEX('Master Tracker'!$G$6:$G$400,$S59)="","",INDEX('Master Tracker'!$G$6:$G$400,$S59)))</f>
        <v/>
      </c>
      <c r="G59" t="str">
        <f>IF($S59="","",IF(INDEX('Master Tracker'!$H$6:$H$400,$S59)="","",INDEX('Master Tracker'!$H$6:$H$400,$S59)))</f>
        <v/>
      </c>
      <c r="H59" t="str">
        <f>IF($S59="","",IF(INDEX('Master Tracker'!$I$6:$I$400,$S59)="","",INDEX('Master Tracker'!$I$6:$I$400,$S59)))</f>
        <v/>
      </c>
      <c r="I59" t="str">
        <f>IF($S59="","",IF(INDEX('Master Tracker'!$U$6:$U$400,$S59)="","",INDEX('Master Tracker'!$U$6:$U$400,$S59)))</f>
        <v/>
      </c>
      <c r="J59" t="str">
        <f>IF($S59="","",IF(INDEX('Master Tracker'!$K$6:$K$400,$S59)="","",INDEX('Master Tracker'!$K$6:$K$400,$S59)))</f>
        <v/>
      </c>
      <c r="K59" t="str">
        <f>IF($S59="","",IF(INDEX('Master Tracker'!$Y$6:$Y$400,$S59)="","",INDEX('Master Tracker'!$Y$6:$Y$400,$S59)))</f>
        <v/>
      </c>
      <c r="L59" t="str">
        <f>IF($S59="","",IF(INDEX('Master Tracker'!$M$6:$M$400,$S59)="","",INDEX('Master Tracker'!$M$6:$M$400,$S59)))</f>
        <v/>
      </c>
      <c r="M59" t="str">
        <f>IF($S59="","",IF(INDEX('Master Tracker'!$O$6:$O$400,$S59)="","",INDEX('Master Tracker'!$O$6:$O$400,$S59)))</f>
        <v/>
      </c>
      <c r="N59" t="str">
        <f>IF($S59="","",IF(INDEX('Master Tracker'!$N$6:$N$400,$S59)="","",INDEX('Master Tracker'!$N$6:$N$400,$S59)))</f>
        <v/>
      </c>
      <c r="O59" t="str">
        <f>IF($S59="","",IF(INDEX('Master Tracker'!$T$6:$T$400,$S59)="","",INDEX('Master Tracker'!$T$6:$T$400,$S59)))</f>
        <v/>
      </c>
      <c r="P59" t="str">
        <f>IF($S59="","",IF(INDEX('Master Tracker'!$AC$6:$AC$400,$S59)="","",INDEX('Master Tracker'!$AC$6:$AC$400,$S59)))</f>
        <v/>
      </c>
      <c r="S59" t="str">
        <f>IFERROR(MATCH("Phase 1|"&amp;A59,'Master Tracker'!$Z$6:$Z$400,0),"")</f>
        <v/>
      </c>
    </row>
    <row r="60">
      <c r="A60">
        <v>20</v>
      </c>
      <c r="B60" t="str">
        <f>IF($S60="","",IF(INDEX('Master Tracker'!$A$6:$A$400,$S60)="","",INDEX('Master Tracker'!$A$6:$A$400,$S60)))</f>
        <v/>
      </c>
      <c r="C60" t="str">
        <f>IF($S60="","",IF(INDEX('Master Tracker'!$C$6:$C$400,$S60)="","",INDEX('Master Tracker'!$C$6:$C$400,$S60)))</f>
        <v/>
      </c>
      <c r="D60" t="str">
        <f>IF($S60="","",IF(INDEX('Master Tracker'!$D$6:$D$400,$S60)="","",INDEX('Master Tracker'!$D$6:$D$400,$S60)))</f>
        <v/>
      </c>
      <c r="E60" t="str">
        <f>IF($S60="","",IF(INDEX('Master Tracker'!$F$6:$F$400,$S60)="","",INDEX('Master Tracker'!$F$6:$F$400,$S60)))</f>
        <v/>
      </c>
      <c r="F60" t="str">
        <f>IF($S60="","",IF(INDEX('Master Tracker'!$G$6:$G$400,$S60)="","",INDEX('Master Tracker'!$G$6:$G$400,$S60)))</f>
        <v/>
      </c>
      <c r="G60" t="str">
        <f>IF($S60="","",IF(INDEX('Master Tracker'!$H$6:$H$400,$S60)="","",INDEX('Master Tracker'!$H$6:$H$400,$S60)))</f>
        <v/>
      </c>
      <c r="H60" t="str">
        <f>IF($S60="","",IF(INDEX('Master Tracker'!$I$6:$I$400,$S60)="","",INDEX('Master Tracker'!$I$6:$I$400,$S60)))</f>
        <v/>
      </c>
      <c r="I60" t="str">
        <f>IF($S60="","",IF(INDEX('Master Tracker'!$U$6:$U$400,$S60)="","",INDEX('Master Tracker'!$U$6:$U$400,$S60)))</f>
        <v/>
      </c>
      <c r="J60" t="str">
        <f>IF($S60="","",IF(INDEX('Master Tracker'!$K$6:$K$400,$S60)="","",INDEX('Master Tracker'!$K$6:$K$400,$S60)))</f>
        <v/>
      </c>
      <c r="K60" t="str">
        <f>IF($S60="","",IF(INDEX('Master Tracker'!$Y$6:$Y$400,$S60)="","",INDEX('Master Tracker'!$Y$6:$Y$400,$S60)))</f>
        <v/>
      </c>
      <c r="L60" t="str">
        <f>IF($S60="","",IF(INDEX('Master Tracker'!$M$6:$M$400,$S60)="","",INDEX('Master Tracker'!$M$6:$M$400,$S60)))</f>
        <v/>
      </c>
      <c r="M60" t="str">
        <f>IF($S60="","",IF(INDEX('Master Tracker'!$O$6:$O$400,$S60)="","",INDEX('Master Tracker'!$O$6:$O$400,$S60)))</f>
        <v/>
      </c>
      <c r="N60" t="str">
        <f>IF($S60="","",IF(INDEX('Master Tracker'!$N$6:$N$400,$S60)="","",INDEX('Master Tracker'!$N$6:$N$400,$S60)))</f>
        <v/>
      </c>
      <c r="O60" t="str">
        <f>IF($S60="","",IF(INDEX('Master Tracker'!$T$6:$T$400,$S60)="","",INDEX('Master Tracker'!$T$6:$T$400,$S60)))</f>
        <v/>
      </c>
      <c r="P60" t="str">
        <f>IF($S60="","",IF(INDEX('Master Tracker'!$AC$6:$AC$400,$S60)="","",INDEX('Master Tracker'!$AC$6:$AC$400,$S60)))</f>
        <v/>
      </c>
      <c r="S60" t="str">
        <f>IFERROR(MATCH("Phase 1|"&amp;A60,'Master Tracker'!$Z$6:$Z$400,0),"")</f>
        <v/>
      </c>
    </row>
    <row r="61">
      <c r="A61">
        <v>21</v>
      </c>
      <c r="B61" t="str">
        <f>IF($S61="","",IF(INDEX('Master Tracker'!$A$6:$A$400,$S61)="","",INDEX('Master Tracker'!$A$6:$A$400,$S61)))</f>
        <v/>
      </c>
      <c r="C61" t="str">
        <f>IF($S61="","",IF(INDEX('Master Tracker'!$C$6:$C$400,$S61)="","",INDEX('Master Tracker'!$C$6:$C$400,$S61)))</f>
        <v/>
      </c>
      <c r="D61" t="str">
        <f>IF($S61="","",IF(INDEX('Master Tracker'!$D$6:$D$400,$S61)="","",INDEX('Master Tracker'!$D$6:$D$400,$S61)))</f>
        <v/>
      </c>
      <c r="E61" t="str">
        <f>IF($S61="","",IF(INDEX('Master Tracker'!$F$6:$F$400,$S61)="","",INDEX('Master Tracker'!$F$6:$F$400,$S61)))</f>
        <v/>
      </c>
      <c r="F61" t="str">
        <f>IF($S61="","",IF(INDEX('Master Tracker'!$G$6:$G$400,$S61)="","",INDEX('Master Tracker'!$G$6:$G$400,$S61)))</f>
        <v/>
      </c>
      <c r="G61" t="str">
        <f>IF($S61="","",IF(INDEX('Master Tracker'!$H$6:$H$400,$S61)="","",INDEX('Master Tracker'!$H$6:$H$400,$S61)))</f>
        <v/>
      </c>
      <c r="H61" t="str">
        <f>IF($S61="","",IF(INDEX('Master Tracker'!$I$6:$I$400,$S61)="","",INDEX('Master Tracker'!$I$6:$I$400,$S61)))</f>
        <v/>
      </c>
      <c r="I61" t="str">
        <f>IF($S61="","",IF(INDEX('Master Tracker'!$U$6:$U$400,$S61)="","",INDEX('Master Tracker'!$U$6:$U$400,$S61)))</f>
        <v/>
      </c>
      <c r="J61" t="str">
        <f>IF($S61="","",IF(INDEX('Master Tracker'!$K$6:$K$400,$S61)="","",INDEX('Master Tracker'!$K$6:$K$400,$S61)))</f>
        <v/>
      </c>
      <c r="K61" t="str">
        <f>IF($S61="","",IF(INDEX('Master Tracker'!$Y$6:$Y$400,$S61)="","",INDEX('Master Tracker'!$Y$6:$Y$400,$S61)))</f>
        <v/>
      </c>
      <c r="L61" t="str">
        <f>IF($S61="","",IF(INDEX('Master Tracker'!$M$6:$M$400,$S61)="","",INDEX('Master Tracker'!$M$6:$M$400,$S61)))</f>
        <v/>
      </c>
      <c r="M61" t="str">
        <f>IF($S61="","",IF(INDEX('Master Tracker'!$O$6:$O$400,$S61)="","",INDEX('Master Tracker'!$O$6:$O$400,$S61)))</f>
        <v/>
      </c>
      <c r="N61" t="str">
        <f>IF($S61="","",IF(INDEX('Master Tracker'!$N$6:$N$400,$S61)="","",INDEX('Master Tracker'!$N$6:$N$400,$S61)))</f>
        <v/>
      </c>
      <c r="O61" t="str">
        <f>IF($S61="","",IF(INDEX('Master Tracker'!$T$6:$T$400,$S61)="","",INDEX('Master Tracker'!$T$6:$T$400,$S61)))</f>
        <v/>
      </c>
      <c r="P61" t="str">
        <f>IF($S61="","",IF(INDEX('Master Tracker'!$AC$6:$AC$400,$S61)="","",INDEX('Master Tracker'!$AC$6:$AC$400,$S61)))</f>
        <v/>
      </c>
      <c r="S61" t="str">
        <f>IFERROR(MATCH("Phase 1|"&amp;A61,'Master Tracker'!$Z$6:$Z$400,0),"")</f>
        <v/>
      </c>
    </row>
    <row r="62">
      <c r="A62">
        <v>22</v>
      </c>
      <c r="B62" t="str">
        <f>IF($S62="","",IF(INDEX('Master Tracker'!$A$6:$A$400,$S62)="","",INDEX('Master Tracker'!$A$6:$A$400,$S62)))</f>
        <v/>
      </c>
      <c r="C62" t="str">
        <f>IF($S62="","",IF(INDEX('Master Tracker'!$C$6:$C$400,$S62)="","",INDEX('Master Tracker'!$C$6:$C$400,$S62)))</f>
        <v/>
      </c>
      <c r="D62" t="str">
        <f>IF($S62="","",IF(INDEX('Master Tracker'!$D$6:$D$400,$S62)="","",INDEX('Master Tracker'!$D$6:$D$400,$S62)))</f>
        <v/>
      </c>
      <c r="E62" t="str">
        <f>IF($S62="","",IF(INDEX('Master Tracker'!$F$6:$F$400,$S62)="","",INDEX('Master Tracker'!$F$6:$F$400,$S62)))</f>
        <v/>
      </c>
      <c r="F62" t="str">
        <f>IF($S62="","",IF(INDEX('Master Tracker'!$G$6:$G$400,$S62)="","",INDEX('Master Tracker'!$G$6:$G$400,$S62)))</f>
        <v/>
      </c>
      <c r="G62" t="str">
        <f>IF($S62="","",IF(INDEX('Master Tracker'!$H$6:$H$400,$S62)="","",INDEX('Master Tracker'!$H$6:$H$400,$S62)))</f>
        <v/>
      </c>
      <c r="H62" t="str">
        <f>IF($S62="","",IF(INDEX('Master Tracker'!$I$6:$I$400,$S62)="","",INDEX('Master Tracker'!$I$6:$I$400,$S62)))</f>
        <v/>
      </c>
      <c r="I62" t="str">
        <f>IF($S62="","",IF(INDEX('Master Tracker'!$U$6:$U$400,$S62)="","",INDEX('Master Tracker'!$U$6:$U$400,$S62)))</f>
        <v/>
      </c>
      <c r="J62" t="str">
        <f>IF($S62="","",IF(INDEX('Master Tracker'!$K$6:$K$400,$S62)="","",INDEX('Master Tracker'!$K$6:$K$400,$S62)))</f>
        <v/>
      </c>
      <c r="K62" t="str">
        <f>IF($S62="","",IF(INDEX('Master Tracker'!$Y$6:$Y$400,$S62)="","",INDEX('Master Tracker'!$Y$6:$Y$400,$S62)))</f>
        <v/>
      </c>
      <c r="L62" t="str">
        <f>IF($S62="","",IF(INDEX('Master Tracker'!$M$6:$M$400,$S62)="","",INDEX('Master Tracker'!$M$6:$M$400,$S62)))</f>
        <v/>
      </c>
      <c r="M62" t="str">
        <f>IF($S62="","",IF(INDEX('Master Tracker'!$O$6:$O$400,$S62)="","",INDEX('Master Tracker'!$O$6:$O$400,$S62)))</f>
        <v/>
      </c>
      <c r="N62" t="str">
        <f>IF($S62="","",IF(INDEX('Master Tracker'!$N$6:$N$400,$S62)="","",INDEX('Master Tracker'!$N$6:$N$400,$S62)))</f>
        <v/>
      </c>
      <c r="O62" t="str">
        <f>IF($S62="","",IF(INDEX('Master Tracker'!$T$6:$T$400,$S62)="","",INDEX('Master Tracker'!$T$6:$T$400,$S62)))</f>
        <v/>
      </c>
      <c r="P62" t="str">
        <f>IF($S62="","",IF(INDEX('Master Tracker'!$AC$6:$AC$400,$S62)="","",INDEX('Master Tracker'!$AC$6:$AC$400,$S62)))</f>
        <v/>
      </c>
      <c r="S62" t="str">
        <f>IFERROR(MATCH("Phase 1|"&amp;A62,'Master Tracker'!$Z$6:$Z$400,0),"")</f>
        <v/>
      </c>
    </row>
    <row r="63">
      <c r="A63">
        <v>23</v>
      </c>
      <c r="B63" t="str">
        <f>IF($S63="","",IF(INDEX('Master Tracker'!$A$6:$A$400,$S63)="","",INDEX('Master Tracker'!$A$6:$A$400,$S63)))</f>
        <v/>
      </c>
      <c r="C63" t="str">
        <f>IF($S63="","",IF(INDEX('Master Tracker'!$C$6:$C$400,$S63)="","",INDEX('Master Tracker'!$C$6:$C$400,$S63)))</f>
        <v/>
      </c>
      <c r="D63" t="str">
        <f>IF($S63="","",IF(INDEX('Master Tracker'!$D$6:$D$400,$S63)="","",INDEX('Master Tracker'!$D$6:$D$400,$S63)))</f>
        <v/>
      </c>
      <c r="E63" t="str">
        <f>IF($S63="","",IF(INDEX('Master Tracker'!$F$6:$F$400,$S63)="","",INDEX('Master Tracker'!$F$6:$F$400,$S63)))</f>
        <v/>
      </c>
      <c r="F63" t="str">
        <f>IF($S63="","",IF(INDEX('Master Tracker'!$G$6:$G$400,$S63)="","",INDEX('Master Tracker'!$G$6:$G$400,$S63)))</f>
        <v/>
      </c>
      <c r="G63" t="str">
        <f>IF($S63="","",IF(INDEX('Master Tracker'!$H$6:$H$400,$S63)="","",INDEX('Master Tracker'!$H$6:$H$400,$S63)))</f>
        <v/>
      </c>
      <c r="H63" t="str">
        <f>IF($S63="","",IF(INDEX('Master Tracker'!$I$6:$I$400,$S63)="","",INDEX('Master Tracker'!$I$6:$I$400,$S63)))</f>
        <v/>
      </c>
      <c r="I63" t="str">
        <f>IF($S63="","",IF(INDEX('Master Tracker'!$U$6:$U$400,$S63)="","",INDEX('Master Tracker'!$U$6:$U$400,$S63)))</f>
        <v/>
      </c>
      <c r="J63" t="str">
        <f>IF($S63="","",IF(INDEX('Master Tracker'!$K$6:$K$400,$S63)="","",INDEX('Master Tracker'!$K$6:$K$400,$S63)))</f>
        <v/>
      </c>
      <c r="K63" t="str">
        <f>IF($S63="","",IF(INDEX('Master Tracker'!$Y$6:$Y$400,$S63)="","",INDEX('Master Tracker'!$Y$6:$Y$400,$S63)))</f>
        <v/>
      </c>
      <c r="L63" t="str">
        <f>IF($S63="","",IF(INDEX('Master Tracker'!$M$6:$M$400,$S63)="","",INDEX('Master Tracker'!$M$6:$M$400,$S63)))</f>
        <v/>
      </c>
      <c r="M63" t="str">
        <f>IF($S63="","",IF(INDEX('Master Tracker'!$O$6:$O$400,$S63)="","",INDEX('Master Tracker'!$O$6:$O$400,$S63)))</f>
        <v/>
      </c>
      <c r="N63" t="str">
        <f>IF($S63="","",IF(INDEX('Master Tracker'!$N$6:$N$400,$S63)="","",INDEX('Master Tracker'!$N$6:$N$400,$S63)))</f>
        <v/>
      </c>
      <c r="O63" t="str">
        <f>IF($S63="","",IF(INDEX('Master Tracker'!$T$6:$T$400,$S63)="","",INDEX('Master Tracker'!$T$6:$T$400,$S63)))</f>
        <v/>
      </c>
      <c r="P63" t="str">
        <f>IF($S63="","",IF(INDEX('Master Tracker'!$AC$6:$AC$400,$S63)="","",INDEX('Master Tracker'!$AC$6:$AC$400,$S63)))</f>
        <v/>
      </c>
      <c r="S63" t="str">
        <f>IFERROR(MATCH("Phase 1|"&amp;A63,'Master Tracker'!$Z$6:$Z$400,0),"")</f>
        <v/>
      </c>
    </row>
    <row r="64">
      <c r="A64">
        <v>24</v>
      </c>
      <c r="B64" t="str">
        <f>IF($S64="","",IF(INDEX('Master Tracker'!$A$6:$A$400,$S64)="","",INDEX('Master Tracker'!$A$6:$A$400,$S64)))</f>
        <v/>
      </c>
      <c r="C64" t="str">
        <f>IF($S64="","",IF(INDEX('Master Tracker'!$C$6:$C$400,$S64)="","",INDEX('Master Tracker'!$C$6:$C$400,$S64)))</f>
        <v/>
      </c>
      <c r="D64" t="str">
        <f>IF($S64="","",IF(INDEX('Master Tracker'!$D$6:$D$400,$S64)="","",INDEX('Master Tracker'!$D$6:$D$400,$S64)))</f>
        <v/>
      </c>
      <c r="E64" t="str">
        <f>IF($S64="","",IF(INDEX('Master Tracker'!$F$6:$F$400,$S64)="","",INDEX('Master Tracker'!$F$6:$F$400,$S64)))</f>
        <v/>
      </c>
      <c r="F64" t="str">
        <f>IF($S64="","",IF(INDEX('Master Tracker'!$G$6:$G$400,$S64)="","",INDEX('Master Tracker'!$G$6:$G$400,$S64)))</f>
        <v/>
      </c>
      <c r="G64" t="str">
        <f>IF($S64="","",IF(INDEX('Master Tracker'!$H$6:$H$400,$S64)="","",INDEX('Master Tracker'!$H$6:$H$400,$S64)))</f>
        <v/>
      </c>
      <c r="H64" t="str">
        <f>IF($S64="","",IF(INDEX('Master Tracker'!$I$6:$I$400,$S64)="","",INDEX('Master Tracker'!$I$6:$I$400,$S64)))</f>
        <v/>
      </c>
      <c r="I64" t="str">
        <f>IF($S64="","",IF(INDEX('Master Tracker'!$U$6:$U$400,$S64)="","",INDEX('Master Tracker'!$U$6:$U$400,$S64)))</f>
        <v/>
      </c>
      <c r="J64" t="str">
        <f>IF($S64="","",IF(INDEX('Master Tracker'!$K$6:$K$400,$S64)="","",INDEX('Master Tracker'!$K$6:$K$400,$S64)))</f>
        <v/>
      </c>
      <c r="K64" t="str">
        <f>IF($S64="","",IF(INDEX('Master Tracker'!$Y$6:$Y$400,$S64)="","",INDEX('Master Tracker'!$Y$6:$Y$400,$S64)))</f>
        <v/>
      </c>
      <c r="L64" t="str">
        <f>IF($S64="","",IF(INDEX('Master Tracker'!$M$6:$M$400,$S64)="","",INDEX('Master Tracker'!$M$6:$M$400,$S64)))</f>
        <v/>
      </c>
      <c r="M64" t="str">
        <f>IF($S64="","",IF(INDEX('Master Tracker'!$O$6:$O$400,$S64)="","",INDEX('Master Tracker'!$O$6:$O$400,$S64)))</f>
        <v/>
      </c>
      <c r="N64" t="str">
        <f>IF($S64="","",IF(INDEX('Master Tracker'!$N$6:$N$400,$S64)="","",INDEX('Master Tracker'!$N$6:$N$400,$S64)))</f>
        <v/>
      </c>
      <c r="O64" t="str">
        <f>IF($S64="","",IF(INDEX('Master Tracker'!$T$6:$T$400,$S64)="","",INDEX('Master Tracker'!$T$6:$T$400,$S64)))</f>
        <v/>
      </c>
      <c r="P64" t="str">
        <f>IF($S64="","",IF(INDEX('Master Tracker'!$AC$6:$AC$400,$S64)="","",INDEX('Master Tracker'!$AC$6:$AC$400,$S64)))</f>
        <v/>
      </c>
      <c r="S64" t="str">
        <f>IFERROR(MATCH("Phase 1|"&amp;A64,'Master Tracker'!$Z$6:$Z$400,0),"")</f>
        <v/>
      </c>
    </row>
    <row r="65">
      <c r="A65">
        <v>25</v>
      </c>
      <c r="B65" t="str">
        <f>IF($S65="","",IF(INDEX('Master Tracker'!$A$6:$A$400,$S65)="","",INDEX('Master Tracker'!$A$6:$A$400,$S65)))</f>
        <v/>
      </c>
      <c r="C65" t="str">
        <f>IF($S65="","",IF(INDEX('Master Tracker'!$C$6:$C$400,$S65)="","",INDEX('Master Tracker'!$C$6:$C$400,$S65)))</f>
        <v/>
      </c>
      <c r="D65" t="str">
        <f>IF($S65="","",IF(INDEX('Master Tracker'!$D$6:$D$400,$S65)="","",INDEX('Master Tracker'!$D$6:$D$400,$S65)))</f>
        <v/>
      </c>
      <c r="E65" t="str">
        <f>IF($S65="","",IF(INDEX('Master Tracker'!$F$6:$F$400,$S65)="","",INDEX('Master Tracker'!$F$6:$F$400,$S65)))</f>
        <v/>
      </c>
      <c r="F65" t="str">
        <f>IF($S65="","",IF(INDEX('Master Tracker'!$G$6:$G$400,$S65)="","",INDEX('Master Tracker'!$G$6:$G$400,$S65)))</f>
        <v/>
      </c>
      <c r="G65" t="str">
        <f>IF($S65="","",IF(INDEX('Master Tracker'!$H$6:$H$400,$S65)="","",INDEX('Master Tracker'!$H$6:$H$400,$S65)))</f>
        <v/>
      </c>
      <c r="H65" t="str">
        <f>IF($S65="","",IF(INDEX('Master Tracker'!$I$6:$I$400,$S65)="","",INDEX('Master Tracker'!$I$6:$I$400,$S65)))</f>
        <v/>
      </c>
      <c r="I65" t="str">
        <f>IF($S65="","",IF(INDEX('Master Tracker'!$U$6:$U$400,$S65)="","",INDEX('Master Tracker'!$U$6:$U$400,$S65)))</f>
        <v/>
      </c>
      <c r="J65" t="str">
        <f>IF($S65="","",IF(INDEX('Master Tracker'!$K$6:$K$400,$S65)="","",INDEX('Master Tracker'!$K$6:$K$400,$S65)))</f>
        <v/>
      </c>
      <c r="K65" t="str">
        <f>IF($S65="","",IF(INDEX('Master Tracker'!$Y$6:$Y$400,$S65)="","",INDEX('Master Tracker'!$Y$6:$Y$400,$S65)))</f>
        <v/>
      </c>
      <c r="L65" t="str">
        <f>IF($S65="","",IF(INDEX('Master Tracker'!$M$6:$M$400,$S65)="","",INDEX('Master Tracker'!$M$6:$M$400,$S65)))</f>
        <v/>
      </c>
      <c r="M65" t="str">
        <f>IF($S65="","",IF(INDEX('Master Tracker'!$O$6:$O$400,$S65)="","",INDEX('Master Tracker'!$O$6:$O$400,$S65)))</f>
        <v/>
      </c>
      <c r="N65" t="str">
        <f>IF($S65="","",IF(INDEX('Master Tracker'!$N$6:$N$400,$S65)="","",INDEX('Master Tracker'!$N$6:$N$400,$S65)))</f>
        <v/>
      </c>
      <c r="O65" t="str">
        <f>IF($S65="","",IF(INDEX('Master Tracker'!$T$6:$T$400,$S65)="","",INDEX('Master Tracker'!$T$6:$T$400,$S65)))</f>
        <v/>
      </c>
      <c r="P65" t="str">
        <f>IF($S65="","",IF(INDEX('Master Tracker'!$AC$6:$AC$400,$S65)="","",INDEX('Master Tracker'!$AC$6:$AC$400,$S65)))</f>
        <v/>
      </c>
      <c r="S65" t="str">
        <f>IFERROR(MATCH("Phase 1|"&amp;A65,'Master Tracker'!$Z$6:$Z$400,0),"")</f>
        <v/>
      </c>
    </row>
  </sheetData>
  <mergeCells count="56">
    <mergeCell ref="A1:R1"/>
    <mergeCell ref="J13:R13"/>
    <mergeCell ref="A19:H19"/>
    <mergeCell ref="B33:R33"/>
    <mergeCell ref="P6:R6"/>
    <mergeCell ref="B37:R37"/>
    <mergeCell ref="A22:H22"/>
    <mergeCell ref="A17:H17"/>
    <mergeCell ref="A39:R39"/>
    <mergeCell ref="J14:R14"/>
    <mergeCell ref="B30:R30"/>
    <mergeCell ref="A20:H20"/>
    <mergeCell ref="J19:R19"/>
    <mergeCell ref="B36:R36"/>
    <mergeCell ref="A2:R2"/>
    <mergeCell ref="A25:H25"/>
    <mergeCell ref="A16:H16"/>
    <mergeCell ref="J25:R25"/>
    <mergeCell ref="J22:R22"/>
    <mergeCell ref="J21:R21"/>
    <mergeCell ref="A12:H12"/>
    <mergeCell ref="J12:R12"/>
    <mergeCell ref="A18:H18"/>
    <mergeCell ref="E6:F6"/>
    <mergeCell ref="A21:H21"/>
    <mergeCell ref="P5:R5"/>
    <mergeCell ref="J18:R18"/>
    <mergeCell ref="A10:R10"/>
    <mergeCell ref="J23:R23"/>
    <mergeCell ref="A14:H14"/>
    <mergeCell ref="B35:R35"/>
    <mergeCell ref="A24:H24"/>
    <mergeCell ref="E5:F5"/>
    <mergeCell ref="A3:C3"/>
    <mergeCell ref="A27:R27"/>
    <mergeCell ref="B31:R31"/>
    <mergeCell ref="J20:R20"/>
    <mergeCell ref="J16:R16"/>
    <mergeCell ref="H6:I6"/>
    <mergeCell ref="A5:C5"/>
    <mergeCell ref="J6:K6"/>
    <mergeCell ref="B29:R29"/>
    <mergeCell ref="B34:R34"/>
    <mergeCell ref="B28:R28"/>
    <mergeCell ref="A9:R9"/>
    <mergeCell ref="J17:R17"/>
    <mergeCell ref="B32:R32"/>
    <mergeCell ref="J24:R24"/>
    <mergeCell ref="A7:R7"/>
    <mergeCell ref="A15:H15"/>
    <mergeCell ref="J5:K5"/>
    <mergeCell ref="J15:R15"/>
    <mergeCell ref="A23:H23"/>
    <mergeCell ref="A6:C6"/>
    <mergeCell ref="H5:I5"/>
    <mergeCell ref="A13:H13"/>
  </mergeCells>
  <hyperlinks>
    <hyperlink ref="A3" location="'Executive Dashboard'!A1"/>
    <hyperlink ref="D3" location="'Master Tracker'!A1"/>
    <hyperlink ref="F3" r:id="rId1"/>
  </hyperlinks>
  <pageMargins left="0.75" right="0.75" top="1" bottom="1" header="0.5" footer="0.5"/>
  <ignoredErrors>
    <ignoredError numberStoredAsText="1" sqref="A1:S65"/>
  </ignoredErrors>
</worksheet>
</file>

<file path=xl/worksheets/sheet4.xml><?xml version="1.0" encoding="utf-8"?>
<worksheet xmlns="http://schemas.openxmlformats.org/spreadsheetml/2006/main" xmlns:r="http://schemas.openxmlformats.org/officeDocument/2006/relationships">
  <dimension ref="A1:S70"/>
  <sheetViews>
    <sheetView workbookViewId="0" rightToLeft="0"/>
  </sheetViews>
  <sheetData>
    <row r="1">
      <c r="A1" t="str">
        <v xml:space="preserve">  PHASE 2 — HOMEPAGE &amp; DYNAMIC SECTION MANAGER</v>
      </c>
    </row>
    <row r="2">
      <c r="A2" t="str">
        <v xml:space="preserve">  Window 15 Oct – 17 Oct 2026   ·   Status is read live from the Master Tracker (edit there)</v>
      </c>
    </row>
    <row r="3">
      <c r="A3" t="str">
        <v>← Dashboard</v>
      </c>
      <c r="D3" t="str">
        <v>Open Master Tracker →</v>
      </c>
      <c r="F3" t="str">
        <v>Staging ↗</v>
      </c>
    </row>
    <row r="5">
      <c r="A5" t="str">
        <v>COMPLETION</v>
      </c>
      <c r="D5" t="str">
        <v>PLANNED</v>
      </c>
      <c r="E5" t="str">
        <v>TASKS</v>
      </c>
      <c r="G5" t="str">
        <v>DONE</v>
      </c>
      <c r="H5" t="str">
        <v>IN PROGRESS</v>
      </c>
      <c r="J5" t="str">
        <v>BLOCKED</v>
      </c>
      <c r="L5" t="str">
        <v>OVERDUE</v>
      </c>
      <c r="M5" t="str">
        <v>IN REVIEW / TEST</v>
      </c>
      <c r="N5" t="str">
        <v>OPEN P0</v>
      </c>
      <c r="O5" t="str">
        <v>DEADLINE</v>
      </c>
      <c r="P5" t="str">
        <v>PHASE STATUS</v>
      </c>
    </row>
    <row r="6">
      <c r="A6">
        <f>IFERROR(SUMPRODUCT(('Master Tracker'!$B$6:$B$400="Phase 2")*'Master Tracker'!$U$6:$U$400)/COUNTIFS('Master Tracker'!$B$6:$B$400,"Phase 2",'Master Tracker'!$A$6:$A$400,"?*"),0)</f>
        <v>0</v>
      </c>
      <c r="D6">
        <f>IFERROR(SUMPRODUCT(('Master Tracker'!$B$6:$B$400="Phase 2")*'Master Tracker'!$V$6:$V$400)/COUNTIFS('Master Tracker'!$B$6:$B$400,"Phase 2",'Master Tracker'!$A$6:$A$400,"?*"),0)</f>
        <v>0</v>
      </c>
      <c r="E6">
        <f>COUNTIFS('Master Tracker'!$B$6:$B$400,"Phase 2",'Master Tracker'!$A$6:$A$400,"?*")</f>
        <v>24</v>
      </c>
      <c r="G6">
        <f>COUNTIFS('Master Tracker'!$B$6:$B$400,"Phase 2",'Master Tracker'!$G$6:$G$400,"Completed")</f>
        <v>0</v>
      </c>
      <c r="H6">
        <f>COUNTIFS('Master Tracker'!$B$6:$B$400,"Phase 2",'Master Tracker'!$G$6:$G$400,"In Progress")</f>
        <v>0</v>
      </c>
      <c r="J6">
        <f>COUNTIFS('Master Tracker'!$B$6:$B$400,"Phase 2",'Master Tracker'!$G$6:$G$400,"Blocked")</f>
        <v>0</v>
      </c>
      <c r="L6">
        <f>COUNTIFS('Master Tracker'!$B$6:$B$400,"Phase 2",'Master Tracker'!$X$6:$X$400,"OVERDUE")</f>
        <v>0</v>
      </c>
      <c r="M6">
        <f>COUNTIFS('Master Tracker'!$B$6:$B$400,"Phase 2",'Master Tracker'!$G$6:$G$400,"In Review")+COUNTIFS('Master Tracker'!$B$6:$B$400,"Phase 2",'Master Tracker'!$G$6:$G$400,"Testing")</f>
        <v>0</v>
      </c>
      <c r="N6">
        <f>COUNTIFS('Master Tracker'!$B$6:$B$400,"Phase 2",'Master Tracker'!$F$6:$F$400,"P0",'Master Tracker'!$G$6:$G$400,"&lt;&gt;Completed",'Master Tracker'!$A$6:$A$400,"?*")</f>
        <v>11</v>
      </c>
      <c r="O6">
        <f>MAXIFS('Master Tracker'!$I$6:$I$400,'Master Tracker'!$B$6:$B$400,"Phase 2")</f>
        <v>46312</v>
      </c>
      <c r="P6" t="str">
        <f>IF(E6=0,"—",IF(G6=E6,"Complete",IF(J6&gt;0,"Blocked",IF(L6&gt;0,"Behind",IF(A6+0.1&lt;D6,"Behind",IF(A6&gt;0,"On Track","Not Started"))))))</f>
        <v>Not Started</v>
      </c>
    </row>
    <row r="7">
      <c r="A7" t="str">
        <f>"Progress  "&amp;REPT("█",ROUND(A6*50,0))&amp;REPT("░",50-ROUND(A6*50,0))&amp;"  "&amp;TEXT(A6,"0%")&amp;"  (planned "&amp;TEXT(D6,"0%")&amp;")"</f>
        <v>Progress  ░░░░░░░░░░░░░░░░░░░░░░░░░░░░░░░░░░░░░░░░░░░░░░░░░░  0%  (planned 0%)</v>
      </c>
    </row>
    <row r="9">
      <c r="A9" t="str">
        <v xml:space="preserve">  PHASE GOAL</v>
      </c>
    </row>
    <row r="10">
      <c r="A10" t="str">
        <v>Deliver a fully dynamic magazine homepage whose every section (source, count, order, offset, layout, visibility, cache) is controlled by editors through the WordPress Customizer Section Manager — no code changes needed to re-arrange the homepage.</v>
      </c>
    </row>
    <row r="12">
      <c r="A12" t="str">
        <v xml:space="preserve">  DELIVERABLES</v>
      </c>
      <c r="J12" t="str">
        <v xml:space="preserve">  REQUIRED WORDPRESS FILES</v>
      </c>
    </row>
    <row r="13">
      <c r="A13" t="str">
        <v>▸ Section Manager engine with per-section schema</v>
      </c>
      <c r="J13" t="str">
        <v>▸ front-page.php</v>
      </c>
    </row>
    <row r="14">
      <c r="A14" t="str">
        <v>▸ Customizer 'Homepage Sections' panel with sanitized controls</v>
      </c>
      <c r="J14" t="str">
        <v>▸ inc/section-manager/registry.php</v>
      </c>
    </row>
    <row r="15">
      <c r="A15" t="str">
        <v>▸ Category/tag selectors, manual post picker, count/sort/offset controls</v>
      </c>
      <c r="J15" t="str">
        <v>▸ inc/section-manager/query-builder.php</v>
      </c>
    </row>
    <row r="16">
      <c r="A16" t="str">
        <v>▸ Layout switching, visibility toggles, ordering, de-duplication</v>
      </c>
      <c r="J16" t="str">
        <v>▸ inc/section-manager/render.php</v>
      </c>
    </row>
    <row r="17">
      <c r="A17" t="str">
        <v>▸ Section cache controls + LiteSpeed purge</v>
      </c>
      <c r="J17" t="str">
        <v>▸ inc/customizer/panel-homepage.php</v>
      </c>
    </row>
    <row r="18">
      <c r="A18" t="str">
        <v>▸ Hero, breaking ticker, cover slider, chamber, opinion, reports, article grids</v>
      </c>
      <c r="J18" t="str">
        <v>▸ inc/customizer/controls/*.php</v>
      </c>
    </row>
    <row r="19">
      <c r="A19" t="str">
        <v>▸ Business, Real Estate, Automotive, Technology, Healthcare, Tourism sections</v>
      </c>
      <c r="J19" t="str">
        <v>▸ assets/js/customizer-controls.js</v>
      </c>
    </row>
    <row r="20">
      <c r="A20" t="str">
        <v>▸ Most-read widget and homepage ad slots</v>
      </c>
      <c r="J20" t="str">
        <v>▸ assets/js/modules/ticker.js, slider.js</v>
      </c>
    </row>
    <row r="21">
      <c r="J21" t="str">
        <v>▸ template-parts/sections/*.php</v>
      </c>
    </row>
    <row r="22">
      <c r="J22" t="str">
        <v>▸ inc/most-read.php</v>
      </c>
    </row>
    <row r="23">
      <c r="J23" t="str">
        <v>▸ inc/widgets/most-read-widget.php</v>
      </c>
    </row>
    <row r="25">
      <c r="A25" t="str">
        <v xml:space="preserve">  TECHNICAL IMPLEMENTATION STEPS</v>
      </c>
    </row>
    <row r="26">
      <c r="A26">
        <v>1</v>
      </c>
      <c r="B26" t="str">
        <v>Define section schema &amp; registry in inc/section-manager/</v>
      </c>
    </row>
    <row r="27">
      <c r="A27">
        <v>2</v>
      </c>
      <c r="B27" t="str">
        <v>Build WP_Query args builder (source, count, orderby, offset, exclusions)</v>
      </c>
    </row>
    <row r="28">
      <c r="A28">
        <v>3</v>
      </c>
      <c r="B28" t="str">
        <v>Register Customizer panel/sections/settings with sanitize callbacks</v>
      </c>
    </row>
    <row r="29">
      <c r="A29">
        <v>4</v>
      </c>
      <c r="B29" t="str">
        <v>Create custom controls: term multi-select, post picker (REST), sortable order</v>
      </c>
    </row>
    <row r="30">
      <c r="A30">
        <v>5</v>
      </c>
      <c r="B30" t="str">
        <v>Map layouts to template-parts components</v>
      </c>
    </row>
    <row r="31">
      <c r="A31">
        <v>6</v>
      </c>
      <c r="B31" t="str">
        <v>Wrap every section query in altijara_cached_query with TTL</v>
      </c>
    </row>
    <row r="32">
      <c r="A32">
        <v>7</v>
      </c>
      <c r="B32" t="str">
        <v>Add purge button + auto-purge on publish + LiteSpeed purge action</v>
      </c>
    </row>
    <row r="33">
      <c r="A33">
        <v>8</v>
      </c>
      <c r="B33" t="str">
        <v>Build hero, ticker (Vanilla JS), cover slider (CPT-driven)</v>
      </c>
    </row>
    <row r="34">
      <c r="A34">
        <v>9</v>
      </c>
      <c r="B34" t="str">
        <v>Configure each sector section via Section Manager</v>
      </c>
    </row>
    <row r="35">
      <c r="A35">
        <v>10</v>
      </c>
      <c r="B35" t="str">
        <v>Implement view counter + most-read widget; measure queries with Query Monitor</v>
      </c>
    </row>
    <row r="37">
      <c r="A37" t="str">
        <v xml:space="preserve">  DETAILED TASK CHECKLIST   (live from Master Tracker — change Status / % there)</v>
      </c>
    </row>
    <row r="38">
      <c r="A38" t="str">
        <v>#</v>
      </c>
      <c r="B38" t="str">
        <v>Task ID</v>
      </c>
      <c r="C38" t="str">
        <v>Module</v>
      </c>
      <c r="D38" t="str">
        <v>Task</v>
      </c>
      <c r="E38" t="str">
        <v>Priority</v>
      </c>
      <c r="F38" t="str">
        <v>Status</v>
      </c>
      <c r="G38" t="str">
        <v>Start</v>
      </c>
      <c r="H38" t="str">
        <v>Due</v>
      </c>
      <c r="I38" t="str">
        <v>Complete</v>
      </c>
      <c r="J38" t="str">
        <v>Dependencies</v>
      </c>
      <c r="K38" t="str">
        <v>Dep. check</v>
      </c>
      <c r="L38" t="str">
        <v>WordPress files</v>
      </c>
      <c r="M38" t="str">
        <v>Acceptance criteria</v>
      </c>
      <c r="N38" t="str">
        <v>Testing checklist</v>
      </c>
      <c r="O38" t="str">
        <v>Test result</v>
      </c>
      <c r="P38" t="str">
        <v>Alert</v>
      </c>
    </row>
    <row r="39">
      <c r="A39">
        <v>1</v>
      </c>
      <c r="B39" t="str">
        <f>IF($S39="","",IF(INDEX('Master Tracker'!$A$6:$A$400,$S39)="","",INDEX('Master Tracker'!$A$6:$A$400,$S39)))</f>
        <v>P2-01</v>
      </c>
      <c r="C39" t="str">
        <f>IF($S39="","",IF(INDEX('Master Tracker'!$C$6:$C$400,$S39)="","",INDEX('Master Tracker'!$C$6:$C$400,$S39)))</f>
        <v>Section Manager</v>
      </c>
      <c r="D39" t="str">
        <f>IF($S39="","",IF(INDEX('Master Tracker'!$D$6:$D$400,$S39)="","",INDEX('Master Tracker'!$D$6:$D$400,$S39)))</f>
        <v>Section Manager engine &amp; schema</v>
      </c>
      <c r="E39" t="str">
        <f>IF($S39="","",IF(INDEX('Master Tracker'!$F$6:$F$400,$S39)="","",INDEX('Master Tracker'!$F$6:$F$400,$S39)))</f>
        <v>P0</v>
      </c>
      <c r="F39" t="str">
        <f>IF($S39="","",IF(INDEX('Master Tracker'!$G$6:$G$400,$S39)="","",INDEX('Master Tracker'!$G$6:$G$400,$S39)))</f>
        <v>Not Started</v>
      </c>
      <c r="G39">
        <f>IF($S39="","",IF(INDEX('Master Tracker'!$H$6:$H$400,$S39)="","",INDEX('Master Tracker'!$H$6:$H$400,$S39)))</f>
        <v>46310</v>
      </c>
      <c r="H39">
        <f>IF($S39="","",IF(INDEX('Master Tracker'!$I$6:$I$400,$S39)="","",INDEX('Master Tracker'!$I$6:$I$400,$S39)))</f>
        <v>46310</v>
      </c>
      <c r="I39">
        <f>IF($S39="","",IF(INDEX('Master Tracker'!$U$6:$U$400,$S39)="","",INDEX('Master Tracker'!$U$6:$U$400,$S39)))</f>
        <v>0</v>
      </c>
      <c r="J39" t="str">
        <f>IF($S39="","",IF(INDEX('Master Tracker'!$K$6:$K$400,$S39)="","",INDEX('Master Tracker'!$K$6:$K$400,$S39)))</f>
        <v>P1-06, P1-14</v>
      </c>
      <c r="K39" t="str">
        <f>IF($S39="","",IF(INDEX('Master Tracker'!$Y$6:$Y$400,$S39)="","",INDEX('Master Tracker'!$Y$6:$Y$400,$S39)))</f>
        <v>⏳ 2 open</v>
      </c>
      <c r="L39" t="str">
        <f>IF($S39="","",IF(INDEX('Master Tracker'!$M$6:$M$400,$S39)="","",INDEX('Master Tracker'!$M$6:$M$400,$S39)))</f>
        <v>inc/section-manager/registry.php, query-builder.php, render.php</v>
      </c>
      <c r="M39" t="str">
        <f>IF($S39="","",IF(INDEX('Master Tracker'!$O$6:$O$400,$S39)="","",INDEX('Master Tracker'!$O$6:$O$400,$S39)))</f>
        <v>Every homepage section is rendered from the registry; no hard-coded queries in front-page.php</v>
      </c>
      <c r="N39" t="str">
        <f>IF($S39="","",IF(INDEX('Master Tracker'!$N$6:$N$400,$S39)="","",INDEX('Master Tracker'!$N$6:$N$400,$S39)))</f>
        <v>Register a test section; change schema values; output changes accordingly</v>
      </c>
      <c r="O39" t="str">
        <f>IF($S39="","",IF(INDEX('Master Tracker'!$T$6:$T$400,$S39)="","",INDEX('Master Tracker'!$T$6:$T$400,$S39)))</f>
        <v>Not Tested</v>
      </c>
      <c r="P39" t="str">
        <f>IF($S39="","",IF(INDEX('Master Tracker'!$AC$6:$AC$400,$S39)="","",INDEX('Master Tracker'!$AC$6:$AC$400,$S39)))</f>
        <v>On track</v>
      </c>
      <c r="S39">
        <f>IFERROR(MATCH("Phase 2|"&amp;A39,'Master Tracker'!$Z$6:$Z$400,0),"")</f>
        <v>18</v>
      </c>
    </row>
    <row r="40">
      <c r="A40">
        <v>2</v>
      </c>
      <c r="B40" t="str">
        <f>IF($S40="","",IF(INDEX('Master Tracker'!$A$6:$A$400,$S40)="","",INDEX('Master Tracker'!$A$6:$A$400,$S40)))</f>
        <v>P2-02</v>
      </c>
      <c r="C40" t="str">
        <f>IF($S40="","",IF(INDEX('Master Tracker'!$C$6:$C$400,$S40)="","",INDEX('Master Tracker'!$C$6:$C$400,$S40)))</f>
        <v>Customizer</v>
      </c>
      <c r="D40" t="str">
        <f>IF($S40="","",IF(INDEX('Master Tracker'!$D$6:$D$400,$S40)="","",INDEX('Master Tracker'!$D$6:$D$400,$S40)))</f>
        <v>Customizer 'Homepage Sections' panel</v>
      </c>
      <c r="E40" t="str">
        <f>IF($S40="","",IF(INDEX('Master Tracker'!$F$6:$F$400,$S40)="","",INDEX('Master Tracker'!$F$6:$F$400,$S40)))</f>
        <v>P0</v>
      </c>
      <c r="F40" t="str">
        <f>IF($S40="","",IF(INDEX('Master Tracker'!$G$6:$G$400,$S40)="","",INDEX('Master Tracker'!$G$6:$G$400,$S40)))</f>
        <v>Not Started</v>
      </c>
      <c r="G40">
        <f>IF($S40="","",IF(INDEX('Master Tracker'!$H$6:$H$400,$S40)="","",INDEX('Master Tracker'!$H$6:$H$400,$S40)))</f>
        <v>46310</v>
      </c>
      <c r="H40">
        <f>IF($S40="","",IF(INDEX('Master Tracker'!$I$6:$I$400,$S40)="","",INDEX('Master Tracker'!$I$6:$I$400,$S40)))</f>
        <v>46310</v>
      </c>
      <c r="I40">
        <f>IF($S40="","",IF(INDEX('Master Tracker'!$U$6:$U$400,$S40)="","",INDEX('Master Tracker'!$U$6:$U$400,$S40)))</f>
        <v>0</v>
      </c>
      <c r="J40" t="str">
        <f>IF($S40="","",IF(INDEX('Master Tracker'!$K$6:$K$400,$S40)="","",INDEX('Master Tracker'!$K$6:$K$400,$S40)))</f>
        <v>P2-01</v>
      </c>
      <c r="K40" t="str">
        <f>IF($S40="","",IF(INDEX('Master Tracker'!$Y$6:$Y$400,$S40)="","",INDEX('Master Tracker'!$Y$6:$Y$400,$S40)))</f>
        <v>⏳ 1 open</v>
      </c>
      <c r="L40" t="str">
        <f>IF($S40="","",IF(INDEX('Master Tracker'!$M$6:$M$400,$S40)="","",INDEX('Master Tracker'!$M$6:$M$400,$S40)))</f>
        <v>inc/customizer/panel-homepage.php, assets/js/customizer-preview.js</v>
      </c>
      <c r="M40" t="str">
        <f>IF($S40="","",IF(INDEX('Master Tracker'!$O$6:$O$400,$S40)="","",INDEX('Master Tracker'!$O$6:$O$400,$S40)))</f>
        <v>All sections configurable in Customizer with live preview and sanitized values</v>
      </c>
      <c r="N40" t="str">
        <f>IF($S40="","",IF(INDEX('Master Tracker'!$N$6:$N$400,$S40)="","",INDEX('Master Tracker'!$N$6:$N$400,$S40)))</f>
        <v>Editor (non-admin) changes a section in Customizer and publishes; invalid values rejected</v>
      </c>
      <c r="O40" t="str">
        <f>IF($S40="","",IF(INDEX('Master Tracker'!$T$6:$T$400,$S40)="","",INDEX('Master Tracker'!$T$6:$T$400,$S40)))</f>
        <v>Not Tested</v>
      </c>
      <c r="P40" t="str">
        <f>IF($S40="","",IF(INDEX('Master Tracker'!$AC$6:$AC$400,$S40)="","",INDEX('Master Tracker'!$AC$6:$AC$400,$S40)))</f>
        <v>On track</v>
      </c>
      <c r="S40">
        <f>IFERROR(MATCH("Phase 2|"&amp;A40,'Master Tracker'!$Z$6:$Z$400,0),"")</f>
        <v>19</v>
      </c>
    </row>
    <row r="41">
      <c r="A41">
        <v>3</v>
      </c>
      <c r="B41" t="str">
        <f>IF($S41="","",IF(INDEX('Master Tracker'!$A$6:$A$400,$S41)="","",INDEX('Master Tracker'!$A$6:$A$400,$S41)))</f>
        <v>P2-03</v>
      </c>
      <c r="C41" t="str">
        <f>IF($S41="","",IF(INDEX('Master Tracker'!$C$6:$C$400,$S41)="","",INDEX('Master Tracker'!$C$6:$C$400,$S41)))</f>
        <v>Customizer Controls</v>
      </c>
      <c r="D41" t="str">
        <f>IF($S41="","",IF(INDEX('Master Tracker'!$D$6:$D$400,$S41)="","",INDEX('Master Tracker'!$D$6:$D$400,$S41)))</f>
        <v>Dynamic category / tag selection</v>
      </c>
      <c r="E41" t="str">
        <f>IF($S41="","",IF(INDEX('Master Tracker'!$F$6:$F$400,$S41)="","",INDEX('Master Tracker'!$F$6:$F$400,$S41)))</f>
        <v>P0</v>
      </c>
      <c r="F41" t="str">
        <f>IF($S41="","",IF(INDEX('Master Tracker'!$G$6:$G$400,$S41)="","",INDEX('Master Tracker'!$G$6:$G$400,$S41)))</f>
        <v>Not Started</v>
      </c>
      <c r="G41">
        <f>IF($S41="","",IF(INDEX('Master Tracker'!$H$6:$H$400,$S41)="","",INDEX('Master Tracker'!$H$6:$H$400,$S41)))</f>
        <v>46310</v>
      </c>
      <c r="H41">
        <f>IF($S41="","",IF(INDEX('Master Tracker'!$I$6:$I$400,$S41)="","",INDEX('Master Tracker'!$I$6:$I$400,$S41)))</f>
        <v>46310</v>
      </c>
      <c r="I41">
        <f>IF($S41="","",IF(INDEX('Master Tracker'!$U$6:$U$400,$S41)="","",INDEX('Master Tracker'!$U$6:$U$400,$S41)))</f>
        <v>0</v>
      </c>
      <c r="J41" t="str">
        <f>IF($S41="","",IF(INDEX('Master Tracker'!$K$6:$K$400,$S41)="","",INDEX('Master Tracker'!$K$6:$K$400,$S41)))</f>
        <v>P2-02</v>
      </c>
      <c r="K41" t="str">
        <f>IF($S41="","",IF(INDEX('Master Tracker'!$Y$6:$Y$400,$S41)="","",INDEX('Master Tracker'!$Y$6:$Y$400,$S41)))</f>
        <v>⏳ 1 open</v>
      </c>
      <c r="L41" t="str">
        <f>IF($S41="","",IF(INDEX('Master Tracker'!$M$6:$M$400,$S41)="","",INDEX('Master Tracker'!$M$6:$M$400,$S41)))</f>
        <v>inc/customizer/controls/term-select.php, assets/js/customizer-controls.js</v>
      </c>
      <c r="M41" t="str">
        <f>IF($S41="","",IF(INDEX('Master Tracker'!$O$6:$O$400,$S41)="","",INDEX('Master Tracker'!$O$6:$O$400,$S41)))</f>
        <v>Sections can be sourced from any category/tag combination by ID</v>
      </c>
      <c r="N41" t="str">
        <f>IF($S41="","",IF(INDEX('Master Tracker'!$N$6:$N$400,$S41)="","",INDEX('Master Tracker'!$N$6:$N$400,$S41)))</f>
        <v>Select 2 categories + 1 tag; rename a category; section still pulls correctly</v>
      </c>
      <c r="O41" t="str">
        <f>IF($S41="","",IF(INDEX('Master Tracker'!$T$6:$T$400,$S41)="","",INDEX('Master Tracker'!$T$6:$T$400,$S41)))</f>
        <v>Not Tested</v>
      </c>
      <c r="P41" t="str">
        <f>IF($S41="","",IF(INDEX('Master Tracker'!$AC$6:$AC$400,$S41)="","",INDEX('Master Tracker'!$AC$6:$AC$400,$S41)))</f>
        <v>On track</v>
      </c>
      <c r="S41">
        <f>IFERROR(MATCH("Phase 2|"&amp;A41,'Master Tracker'!$Z$6:$Z$400,0),"")</f>
        <v>20</v>
      </c>
    </row>
    <row r="42">
      <c r="A42">
        <v>4</v>
      </c>
      <c r="B42" t="str">
        <f>IF($S42="","",IF(INDEX('Master Tracker'!$A$6:$A$400,$S42)="","",INDEX('Master Tracker'!$A$6:$A$400,$S42)))</f>
        <v>P2-04</v>
      </c>
      <c r="C42" t="str">
        <f>IF($S42="","",IF(INDEX('Master Tracker'!$C$6:$C$400,$S42)="","",INDEX('Master Tracker'!$C$6:$C$400,$S42)))</f>
        <v>Customizer Controls</v>
      </c>
      <c r="D42" t="str">
        <f>IF($S42="","",IF(INDEX('Master Tracker'!$D$6:$D$400,$S42)="","",INDEX('Master Tracker'!$D$6:$D$400,$S42)))</f>
        <v>Post count, sorting &amp; offset controls</v>
      </c>
      <c r="E42" t="str">
        <f>IF($S42="","",IF(INDEX('Master Tracker'!$F$6:$F$400,$S42)="","",INDEX('Master Tracker'!$F$6:$F$400,$S42)))</f>
        <v>P0</v>
      </c>
      <c r="F42" t="str">
        <f>IF($S42="","",IF(INDEX('Master Tracker'!$G$6:$G$400,$S42)="","",INDEX('Master Tracker'!$G$6:$G$400,$S42)))</f>
        <v>Not Started</v>
      </c>
      <c r="G42">
        <f>IF($S42="","",IF(INDEX('Master Tracker'!$H$6:$H$400,$S42)="","",INDEX('Master Tracker'!$H$6:$H$400,$S42)))</f>
        <v>46310</v>
      </c>
      <c r="H42">
        <f>IF($S42="","",IF(INDEX('Master Tracker'!$I$6:$I$400,$S42)="","",INDEX('Master Tracker'!$I$6:$I$400,$S42)))</f>
        <v>46310</v>
      </c>
      <c r="I42">
        <f>IF($S42="","",IF(INDEX('Master Tracker'!$U$6:$U$400,$S42)="","",INDEX('Master Tracker'!$U$6:$U$400,$S42)))</f>
        <v>0</v>
      </c>
      <c r="J42" t="str">
        <f>IF($S42="","",IF(INDEX('Master Tracker'!$K$6:$K$400,$S42)="","",INDEX('Master Tracker'!$K$6:$K$400,$S42)))</f>
        <v>P2-03</v>
      </c>
      <c r="K42" t="str">
        <f>IF($S42="","",IF(INDEX('Master Tracker'!$Y$6:$Y$400,$S42)="","",INDEX('Master Tracker'!$Y$6:$Y$400,$S42)))</f>
        <v>⏳ 1 open</v>
      </c>
      <c r="L42" t="str">
        <f>IF($S42="","",IF(INDEX('Master Tracker'!$M$6:$M$400,$S42)="","",INDEX('Master Tracker'!$M$6:$M$400,$S42)))</f>
        <v>inc/section-manager/query-builder.php</v>
      </c>
      <c r="M42" t="str">
        <f>IF($S42="","",IF(INDEX('Master Tracker'!$O$6:$O$400,$S42)="","",INDEX('Master Tracker'!$O$6:$O$400,$S42)))</f>
        <v>Count, sorting and offset behave exactly as configured</v>
      </c>
      <c r="N42" t="str">
        <f>IF($S42="","",IF(INDEX('Master Tracker'!$N$6:$N$400,$S42)="","",INDEX('Master Tracker'!$N$6:$N$400,$S42)))</f>
        <v>Change count, order and offset; verify returned posts in Query Monitor</v>
      </c>
      <c r="O42" t="str">
        <f>IF($S42="","",IF(INDEX('Master Tracker'!$T$6:$T$400,$S42)="","",INDEX('Master Tracker'!$T$6:$T$400,$S42)))</f>
        <v>Not Tested</v>
      </c>
      <c r="P42" t="str">
        <f>IF($S42="","",IF(INDEX('Master Tracker'!$AC$6:$AC$400,$S42)="","",INDEX('Master Tracker'!$AC$6:$AC$400,$S42)))</f>
        <v>On track</v>
      </c>
      <c r="S42">
        <f>IFERROR(MATCH("Phase 2|"&amp;A42,'Master Tracker'!$Z$6:$Z$400,0),"")</f>
        <v>21</v>
      </c>
    </row>
    <row r="43">
      <c r="A43">
        <v>5</v>
      </c>
      <c r="B43" t="str">
        <f>IF($S43="","",IF(INDEX('Master Tracker'!$A$6:$A$400,$S43)="","",INDEX('Master Tracker'!$A$6:$A$400,$S43)))</f>
        <v>P2-05</v>
      </c>
      <c r="C43" t="str">
        <f>IF($S43="","",IF(INDEX('Master Tracker'!$C$6:$C$400,$S43)="","",INDEX('Master Tracker'!$C$6:$C$400,$S43)))</f>
        <v>Customizer Controls</v>
      </c>
      <c r="D43" t="str">
        <f>IF($S43="","",IF(INDEX('Master Tracker'!$D$6:$D$400,$S43)="","",INDEX('Master Tracker'!$D$6:$D$400,$S43)))</f>
        <v>Manual post selection (post picker)</v>
      </c>
      <c r="E43" t="str">
        <f>IF($S43="","",IF(INDEX('Master Tracker'!$F$6:$F$400,$S43)="","",INDEX('Master Tracker'!$F$6:$F$400,$S43)))</f>
        <v>P1</v>
      </c>
      <c r="F43" t="str">
        <f>IF($S43="","",IF(INDEX('Master Tracker'!$G$6:$G$400,$S43)="","",INDEX('Master Tracker'!$G$6:$G$400,$S43)))</f>
        <v>Not Started</v>
      </c>
      <c r="G43">
        <f>IF($S43="","",IF(INDEX('Master Tracker'!$H$6:$H$400,$S43)="","",INDEX('Master Tracker'!$H$6:$H$400,$S43)))</f>
        <v>46310</v>
      </c>
      <c r="H43">
        <f>IF($S43="","",IF(INDEX('Master Tracker'!$I$6:$I$400,$S43)="","",INDEX('Master Tracker'!$I$6:$I$400,$S43)))</f>
        <v>46310</v>
      </c>
      <c r="I43">
        <f>IF($S43="","",IF(INDEX('Master Tracker'!$U$6:$U$400,$S43)="","",INDEX('Master Tracker'!$U$6:$U$400,$S43)))</f>
        <v>0</v>
      </c>
      <c r="J43" t="str">
        <f>IF($S43="","",IF(INDEX('Master Tracker'!$K$6:$K$400,$S43)="","",INDEX('Master Tracker'!$K$6:$K$400,$S43)))</f>
        <v>P2-02</v>
      </c>
      <c r="K43" t="str">
        <f>IF($S43="","",IF(INDEX('Master Tracker'!$Y$6:$Y$400,$S43)="","",INDEX('Master Tracker'!$Y$6:$Y$400,$S43)))</f>
        <v>⏳ 1 open</v>
      </c>
      <c r="L43" t="str">
        <f>IF($S43="","",IF(INDEX('Master Tracker'!$M$6:$M$400,$S43)="","",INDEX('Master Tracker'!$M$6:$M$400,$S43)))</f>
        <v>inc/customizer/controls/post-picker.php, assets/js/customizer-controls.js</v>
      </c>
      <c r="M43" t="str">
        <f>IF($S43="","",IF(INDEX('Master Tracker'!$O$6:$O$400,$S43)="","",INDEX('Master Tracker'!$O$6:$O$400,$S43)))</f>
        <v>Editors can pin specific posts in a chosen order</v>
      </c>
      <c r="N43" t="str">
        <f>IF($S43="","",IF(INDEX('Master Tracker'!$N$6:$N$400,$S43)="","",INDEX('Master Tracker'!$N$6:$N$400,$S43)))</f>
        <v>Pick 4 posts, reorder, publish; homepage shows them in chosen order</v>
      </c>
      <c r="O43" t="str">
        <f>IF($S43="","",IF(INDEX('Master Tracker'!$T$6:$T$400,$S43)="","",INDEX('Master Tracker'!$T$6:$T$400,$S43)))</f>
        <v>Not Tested</v>
      </c>
      <c r="P43" t="str">
        <f>IF($S43="","",IF(INDEX('Master Tracker'!$AC$6:$AC$400,$S43)="","",INDEX('Master Tracker'!$AC$6:$AC$400,$S43)))</f>
        <v>On track</v>
      </c>
      <c r="S43">
        <f>IFERROR(MATCH("Phase 2|"&amp;A43,'Master Tracker'!$Z$6:$Z$400,0),"")</f>
        <v>22</v>
      </c>
    </row>
    <row r="44">
      <c r="A44">
        <v>6</v>
      </c>
      <c r="B44" t="str">
        <f>IF($S44="","",IF(INDEX('Master Tracker'!$A$6:$A$400,$S44)="","",INDEX('Master Tracker'!$A$6:$A$400,$S44)))</f>
        <v>P2-06</v>
      </c>
      <c r="C44" t="str">
        <f>IF($S44="","",IF(INDEX('Master Tracker'!$C$6:$C$400,$S44)="","",INDEX('Master Tracker'!$C$6:$C$400,$S44)))</f>
        <v>Customizer Controls</v>
      </c>
      <c r="D44" t="str">
        <f>IF($S44="","",IF(INDEX('Master Tracker'!$D$6:$D$400,$S44)="","",INDEX('Master Tracker'!$D$6:$D$400,$S44)))</f>
        <v>Layout switching per section</v>
      </c>
      <c r="E44" t="str">
        <f>IF($S44="","",IF(INDEX('Master Tracker'!$F$6:$F$400,$S44)="","",INDEX('Master Tracker'!$F$6:$F$400,$S44)))</f>
        <v>P1</v>
      </c>
      <c r="F44" t="str">
        <f>IF($S44="","",IF(INDEX('Master Tracker'!$G$6:$G$400,$S44)="","",INDEX('Master Tracker'!$G$6:$G$400,$S44)))</f>
        <v>Not Started</v>
      </c>
      <c r="G44">
        <f>IF($S44="","",IF(INDEX('Master Tracker'!$H$6:$H$400,$S44)="","",INDEX('Master Tracker'!$H$6:$H$400,$S44)))</f>
        <v>46310</v>
      </c>
      <c r="H44">
        <f>IF($S44="","",IF(INDEX('Master Tracker'!$I$6:$I$400,$S44)="","",INDEX('Master Tracker'!$I$6:$I$400,$S44)))</f>
        <v>46310</v>
      </c>
      <c r="I44">
        <f>IF($S44="","",IF(INDEX('Master Tracker'!$U$6:$U$400,$S44)="","",INDEX('Master Tracker'!$U$6:$U$400,$S44)))</f>
        <v>0</v>
      </c>
      <c r="J44" t="str">
        <f>IF($S44="","",IF(INDEX('Master Tracker'!$K$6:$K$400,$S44)="","",INDEX('Master Tracker'!$K$6:$K$400,$S44)))</f>
        <v>P2-01</v>
      </c>
      <c r="K44" t="str">
        <f>IF($S44="","",IF(INDEX('Master Tracker'!$Y$6:$Y$400,$S44)="","",INDEX('Master Tracker'!$Y$6:$Y$400,$S44)))</f>
        <v>⏳ 1 open</v>
      </c>
      <c r="L44" t="str">
        <f>IF($S44="","",IF(INDEX('Master Tracker'!$M$6:$M$400,$S44)="","",INDEX('Master Tracker'!$M$6:$M$400,$S44)))</f>
        <v>template-parts/sections/*.php</v>
      </c>
      <c r="M44" t="str">
        <f>IF($S44="","",IF(INDEX('Master Tracker'!$O$6:$O$400,$S44)="","",INDEX('Master Tracker'!$O$6:$O$400,$S44)))</f>
        <v>Each layout renders correctly and responsively</v>
      </c>
      <c r="N44" t="str">
        <f>IF($S44="","",IF(INDEX('Master Tracker'!$N$6:$N$400,$S44)="","",INDEX('Master Tracker'!$N$6:$N$400,$S44)))</f>
        <v>Switch each section through every layout at 360 px and 1440 px</v>
      </c>
      <c r="O44" t="str">
        <f>IF($S44="","",IF(INDEX('Master Tracker'!$T$6:$T$400,$S44)="","",INDEX('Master Tracker'!$T$6:$T$400,$S44)))</f>
        <v>Not Tested</v>
      </c>
      <c r="P44" t="str">
        <f>IF($S44="","",IF(INDEX('Master Tracker'!$AC$6:$AC$400,$S44)="","",INDEX('Master Tracker'!$AC$6:$AC$400,$S44)))</f>
        <v>On track</v>
      </c>
      <c r="S44">
        <f>IFERROR(MATCH("Phase 2|"&amp;A44,'Master Tracker'!$Z$6:$Z$400,0),"")</f>
        <v>23</v>
      </c>
    </row>
    <row r="45">
      <c r="A45">
        <v>7</v>
      </c>
      <c r="B45" t="str">
        <f>IF($S45="","",IF(INDEX('Master Tracker'!$A$6:$A$400,$S45)="","",INDEX('Master Tracker'!$A$6:$A$400,$S45)))</f>
        <v>P2-07</v>
      </c>
      <c r="C45" t="str">
        <f>IF($S45="","",IF(INDEX('Master Tracker'!$C$6:$C$400,$S45)="","",INDEX('Master Tracker'!$C$6:$C$400,$S45)))</f>
        <v>Customizer Controls</v>
      </c>
      <c r="D45" t="str">
        <f>IF($S45="","",IF(INDEX('Master Tracker'!$D$6:$D$400,$S45)="","",INDEX('Master Tracker'!$D$6:$D$400,$S45)))</f>
        <v>Section visibility, ordering &amp; de-duplication</v>
      </c>
      <c r="E45" t="str">
        <f>IF($S45="","",IF(INDEX('Master Tracker'!$F$6:$F$400,$S45)="","",INDEX('Master Tracker'!$F$6:$F$400,$S45)))</f>
        <v>P0</v>
      </c>
      <c r="F45" t="str">
        <f>IF($S45="","",IF(INDEX('Master Tracker'!$G$6:$G$400,$S45)="","",INDEX('Master Tracker'!$G$6:$G$400,$S45)))</f>
        <v>Not Started</v>
      </c>
      <c r="G45">
        <f>IF($S45="","",IF(INDEX('Master Tracker'!$H$6:$H$400,$S45)="","",INDEX('Master Tracker'!$H$6:$H$400,$S45)))</f>
        <v>46310</v>
      </c>
      <c r="H45">
        <f>IF($S45="","",IF(INDEX('Master Tracker'!$I$6:$I$400,$S45)="","",INDEX('Master Tracker'!$I$6:$I$400,$S45)))</f>
        <v>46311</v>
      </c>
      <c r="I45">
        <f>IF($S45="","",IF(INDEX('Master Tracker'!$U$6:$U$400,$S45)="","",INDEX('Master Tracker'!$U$6:$U$400,$S45)))</f>
        <v>0</v>
      </c>
      <c r="J45" t="str">
        <f>IF($S45="","",IF(INDEX('Master Tracker'!$K$6:$K$400,$S45)="","",INDEX('Master Tracker'!$K$6:$K$400,$S45)))</f>
        <v>P2-02</v>
      </c>
      <c r="K45" t="str">
        <f>IF($S45="","",IF(INDEX('Master Tracker'!$Y$6:$Y$400,$S45)="","",INDEX('Master Tracker'!$Y$6:$Y$400,$S45)))</f>
        <v>⏳ 1 open</v>
      </c>
      <c r="L45" t="str">
        <f>IF($S45="","",IF(INDEX('Master Tracker'!$M$6:$M$400,$S45)="","",INDEX('Master Tracker'!$M$6:$M$400,$S45)))</f>
        <v>inc/section-manager/render.php, inc/customizer/controls/sortable.php</v>
      </c>
      <c r="M45" t="str">
        <f>IF($S45="","",IF(INDEX('Master Tracker'!$O$6:$O$400,$S45)="","",INDEX('Master Tracker'!$O$6:$O$400,$S45)))</f>
        <v>Visibility, order and de-duplication controlled from Customizer</v>
      </c>
      <c r="N45" t="str">
        <f>IF($S45="","",IF(INDEX('Master Tracker'!$N$6:$N$400,$S45)="","",INDEX('Master Tracker'!$N$6:$N$400,$S45)))</f>
        <v>Hide a section, reorder two sections, confirm no duplicate posts across sections</v>
      </c>
      <c r="O45" t="str">
        <f>IF($S45="","",IF(INDEX('Master Tracker'!$T$6:$T$400,$S45)="","",INDEX('Master Tracker'!$T$6:$T$400,$S45)))</f>
        <v>Not Tested</v>
      </c>
      <c r="P45" t="str">
        <f>IF($S45="","",IF(INDEX('Master Tracker'!$AC$6:$AC$400,$S45)="","",INDEX('Master Tracker'!$AC$6:$AC$400,$S45)))</f>
        <v>On track</v>
      </c>
      <c r="S45">
        <f>IFERROR(MATCH("Phase 2|"&amp;A45,'Master Tracker'!$Z$6:$Z$400,0),"")</f>
        <v>24</v>
      </c>
    </row>
    <row r="46">
      <c r="A46">
        <v>8</v>
      </c>
      <c r="B46" t="str">
        <f>IF($S46="","",IF(INDEX('Master Tracker'!$A$6:$A$400,$S46)="","",INDEX('Master Tracker'!$A$6:$A$400,$S46)))</f>
        <v>P2-08</v>
      </c>
      <c r="C46" t="str">
        <f>IF($S46="","",IF(INDEX('Master Tracker'!$C$6:$C$400,$S46)="","",INDEX('Master Tracker'!$C$6:$C$400,$S46)))</f>
        <v>Cache Controls</v>
      </c>
      <c r="D46" t="str">
        <f>IF($S46="","",IF(INDEX('Master Tracker'!$D$6:$D$400,$S46)="","",INDEX('Master Tracker'!$D$6:$D$400,$S46)))</f>
        <v>Section cache controls + LiteSpeed purge</v>
      </c>
      <c r="E46" t="str">
        <f>IF($S46="","",IF(INDEX('Master Tracker'!$F$6:$F$400,$S46)="","",INDEX('Master Tracker'!$F$6:$F$400,$S46)))</f>
        <v>P0</v>
      </c>
      <c r="F46" t="str">
        <f>IF($S46="","",IF(INDEX('Master Tracker'!$G$6:$G$400,$S46)="","",INDEX('Master Tracker'!$G$6:$G$400,$S46)))</f>
        <v>Not Started</v>
      </c>
      <c r="G46">
        <f>IF($S46="","",IF(INDEX('Master Tracker'!$H$6:$H$400,$S46)="","",INDEX('Master Tracker'!$H$6:$H$400,$S46)))</f>
        <v>46311</v>
      </c>
      <c r="H46">
        <f>IF($S46="","",IF(INDEX('Master Tracker'!$I$6:$I$400,$S46)="","",INDEX('Master Tracker'!$I$6:$I$400,$S46)))</f>
        <v>46311</v>
      </c>
      <c r="I46">
        <f>IF($S46="","",IF(INDEX('Master Tracker'!$U$6:$U$400,$S46)="","",INDEX('Master Tracker'!$U$6:$U$400,$S46)))</f>
        <v>0</v>
      </c>
      <c r="J46" t="str">
        <f>IF($S46="","",IF(INDEX('Master Tracker'!$K$6:$K$400,$S46)="","",INDEX('Master Tracker'!$K$6:$K$400,$S46)))</f>
        <v>P1-14, P2-01</v>
      </c>
      <c r="K46" t="str">
        <f>IF($S46="","",IF(INDEX('Master Tracker'!$Y$6:$Y$400,$S46)="","",INDEX('Master Tracker'!$Y$6:$Y$400,$S46)))</f>
        <v>⏳ 2 open</v>
      </c>
      <c r="L46" t="str">
        <f>IF($S46="","",IF(INDEX('Master Tracker'!$M$6:$M$400,$S46)="","",INDEX('Master Tracker'!$M$6:$M$400,$S46)))</f>
        <v>inc/section-manager/cache.php</v>
      </c>
      <c r="M46" t="str">
        <f>IF($S46="","",IF(INDEX('Master Tracker'!$O$6:$O$400,$S46)="","",INDEX('Master Tracker'!$O$6:$O$400,$S46)))</f>
        <v>Homepage never serves stale sections after publish; manual purge available</v>
      </c>
      <c r="N46" t="str">
        <f>IF($S46="","",IF(INDEX('Master Tracker'!$N$6:$N$400,$S46)="","",INDEX('Master Tracker'!$N$6:$N$400,$S46)))</f>
        <v>Publish a post → appears on homepage after purge; purge button works only for editors+</v>
      </c>
      <c r="O46" t="str">
        <f>IF($S46="","",IF(INDEX('Master Tracker'!$T$6:$T$400,$S46)="","",INDEX('Master Tracker'!$T$6:$T$400,$S46)))</f>
        <v>Not Tested</v>
      </c>
      <c r="P46" t="str">
        <f>IF($S46="","",IF(INDEX('Master Tracker'!$AC$6:$AC$400,$S46)="","",INDEX('Master Tracker'!$AC$6:$AC$400,$S46)))</f>
        <v>On track</v>
      </c>
      <c r="S46">
        <f>IFERROR(MATCH("Phase 2|"&amp;A46,'Master Tracker'!$Z$6:$Z$400,0),"")</f>
        <v>25</v>
      </c>
    </row>
    <row r="47">
      <c r="A47">
        <v>9</v>
      </c>
      <c r="B47" t="str">
        <f>IF($S47="","",IF(INDEX('Master Tracker'!$A$6:$A$400,$S47)="","",INDEX('Master Tracker'!$A$6:$A$400,$S47)))</f>
        <v>P2-09</v>
      </c>
      <c r="C47" t="str">
        <f>IF($S47="","",IF(INDEX('Master Tracker'!$C$6:$C$400,$S47)="","",INDEX('Master Tracker'!$C$6:$C$400,$S47)))</f>
        <v>Homepage Sections</v>
      </c>
      <c r="D47" t="str">
        <f>IF($S47="","",IF(INDEX('Master Tracker'!$D$6:$D$400,$S47)="","",INDEX('Master Tracker'!$D$6:$D$400,$S47)))</f>
        <v>Homepage hero</v>
      </c>
      <c r="E47" t="str">
        <f>IF($S47="","",IF(INDEX('Master Tracker'!$F$6:$F$400,$S47)="","",INDEX('Master Tracker'!$F$6:$F$400,$S47)))</f>
        <v>P0</v>
      </c>
      <c r="F47" t="str">
        <f>IF($S47="","",IF(INDEX('Master Tracker'!$G$6:$G$400,$S47)="","",INDEX('Master Tracker'!$G$6:$G$400,$S47)))</f>
        <v>Not Started</v>
      </c>
      <c r="G47">
        <f>IF($S47="","",IF(INDEX('Master Tracker'!$H$6:$H$400,$S47)="","",INDEX('Master Tracker'!$H$6:$H$400,$S47)))</f>
        <v>46311</v>
      </c>
      <c r="H47">
        <f>IF($S47="","",IF(INDEX('Master Tracker'!$I$6:$I$400,$S47)="","",INDEX('Master Tracker'!$I$6:$I$400,$S47)))</f>
        <v>46311</v>
      </c>
      <c r="I47">
        <f>IF($S47="","",IF(INDEX('Master Tracker'!$U$6:$U$400,$S47)="","",INDEX('Master Tracker'!$U$6:$U$400,$S47)))</f>
        <v>0</v>
      </c>
      <c r="J47" t="str">
        <f>IF($S47="","",IF(INDEX('Master Tracker'!$K$6:$K$400,$S47)="","",INDEX('Master Tracker'!$K$6:$K$400,$S47)))</f>
        <v>P2-01</v>
      </c>
      <c r="K47" t="str">
        <f>IF($S47="","",IF(INDEX('Master Tracker'!$Y$6:$Y$400,$S47)="","",INDEX('Master Tracker'!$Y$6:$Y$400,$S47)))</f>
        <v>⏳ 1 open</v>
      </c>
      <c r="L47" t="str">
        <f>IF($S47="","",IF(INDEX('Master Tracker'!$M$6:$M$400,$S47)="","",INDEX('Master Tracker'!$M$6:$M$400,$S47)))</f>
        <v>template-parts/sections/hero.php</v>
      </c>
      <c r="M47" t="str">
        <f>IF($S47="","",IF(INDEX('Master Tracker'!$O$6:$O$400,$S47)="","",INDEX('Master Tracker'!$O$6:$O$400,$S47)))</f>
        <v>Hero is editor-controlled and renders well on all breakpoints</v>
      </c>
      <c r="N47" t="str">
        <f>IF($S47="","",IF(INDEX('Master Tracker'!$N$6:$N$400,$S47)="","",INDEX('Master Tracker'!$N$6:$N$400,$S47)))</f>
        <v>Change hero source; check mobile crop and title wrapping in Arabic</v>
      </c>
      <c r="O47" t="str">
        <f>IF($S47="","",IF(INDEX('Master Tracker'!$T$6:$T$400,$S47)="","",INDEX('Master Tracker'!$T$6:$T$400,$S47)))</f>
        <v>Not Tested</v>
      </c>
      <c r="P47" t="str">
        <f>IF($S47="","",IF(INDEX('Master Tracker'!$AC$6:$AC$400,$S47)="","",INDEX('Master Tracker'!$AC$6:$AC$400,$S47)))</f>
        <v>On track</v>
      </c>
      <c r="S47">
        <f>IFERROR(MATCH("Phase 2|"&amp;A47,'Master Tracker'!$Z$6:$Z$400,0),"")</f>
        <v>26</v>
      </c>
    </row>
    <row r="48">
      <c r="A48">
        <v>10</v>
      </c>
      <c r="B48" t="str">
        <f>IF($S48="","",IF(INDEX('Master Tracker'!$A$6:$A$400,$S48)="","",INDEX('Master Tracker'!$A$6:$A$400,$S48)))</f>
        <v>P2-10</v>
      </c>
      <c r="C48" t="str">
        <f>IF($S48="","",IF(INDEX('Master Tracker'!$C$6:$C$400,$S48)="","",INDEX('Master Tracker'!$C$6:$C$400,$S48)))</f>
        <v>Homepage Sections</v>
      </c>
      <c r="D48" t="str">
        <f>IF($S48="","",IF(INDEX('Master Tracker'!$D$6:$D$400,$S48)="","",INDEX('Master Tracker'!$D$6:$D$400,$S48)))</f>
        <v>Breaking news ticker</v>
      </c>
      <c r="E48" t="str">
        <f>IF($S48="","",IF(INDEX('Master Tracker'!$F$6:$F$400,$S48)="","",INDEX('Master Tracker'!$F$6:$F$400,$S48)))</f>
        <v>P0</v>
      </c>
      <c r="F48" t="str">
        <f>IF($S48="","",IF(INDEX('Master Tracker'!$G$6:$G$400,$S48)="","",INDEX('Master Tracker'!$G$6:$G$400,$S48)))</f>
        <v>Not Started</v>
      </c>
      <c r="G48">
        <f>IF($S48="","",IF(INDEX('Master Tracker'!$H$6:$H$400,$S48)="","",INDEX('Master Tracker'!$H$6:$H$400,$S48)))</f>
        <v>46311</v>
      </c>
      <c r="H48">
        <f>IF($S48="","",IF(INDEX('Master Tracker'!$I$6:$I$400,$S48)="","",INDEX('Master Tracker'!$I$6:$I$400,$S48)))</f>
        <v>46311</v>
      </c>
      <c r="I48">
        <f>IF($S48="","",IF(INDEX('Master Tracker'!$U$6:$U$400,$S48)="","",INDEX('Master Tracker'!$U$6:$U$400,$S48)))</f>
        <v>0</v>
      </c>
      <c r="J48" t="str">
        <f>IF($S48="","",IF(INDEX('Master Tracker'!$K$6:$K$400,$S48)="","",INDEX('Master Tracker'!$K$6:$K$400,$S48)))</f>
        <v>P2-01</v>
      </c>
      <c r="K48" t="str">
        <f>IF($S48="","",IF(INDEX('Master Tracker'!$Y$6:$Y$400,$S48)="","",INDEX('Master Tracker'!$Y$6:$Y$400,$S48)))</f>
        <v>⏳ 1 open</v>
      </c>
      <c r="L48" t="str">
        <f>IF($S48="","",IF(INDEX('Master Tracker'!$M$6:$M$400,$S48)="","",INDEX('Master Tracker'!$M$6:$M$400,$S48)))</f>
        <v>template-parts/sections/ticker.php, assets/js/modules/ticker.js</v>
      </c>
      <c r="M48" t="str">
        <f>IF($S48="","",IF(INDEX('Master Tracker'!$O$6:$O$400,$S48)="","",INDEX('Master Tracker'!$O$6:$O$400,$S48)))</f>
        <v>Ticker updates from WordPress, scrolls RTL and is accessible</v>
      </c>
      <c r="N48" t="str">
        <f>IF($S48="","",IF(INDEX('Master Tracker'!$N$6:$N$400,$S48)="","",INDEX('Master Tracker'!$N$6:$N$400,$S48)))</f>
        <v>Add/remove breaking tag; test RTL scroll direction, hover pause, reduced motion</v>
      </c>
      <c r="O48" t="str">
        <f>IF($S48="","",IF(INDEX('Master Tracker'!$T$6:$T$400,$S48)="","",INDEX('Master Tracker'!$T$6:$T$400,$S48)))</f>
        <v>Not Tested</v>
      </c>
      <c r="P48" t="str">
        <f>IF($S48="","",IF(INDEX('Master Tracker'!$AC$6:$AC$400,$S48)="","",INDEX('Master Tracker'!$AC$6:$AC$400,$S48)))</f>
        <v>On track</v>
      </c>
      <c r="S48">
        <f>IFERROR(MATCH("Phase 2|"&amp;A48,'Master Tracker'!$Z$6:$Z$400,0),"")</f>
        <v>27</v>
      </c>
    </row>
    <row r="49">
      <c r="A49">
        <v>11</v>
      </c>
      <c r="B49" t="str">
        <f>IF($S49="","",IF(INDEX('Master Tracker'!$A$6:$A$400,$S49)="","",INDEX('Master Tracker'!$A$6:$A$400,$S49)))</f>
        <v>P2-11</v>
      </c>
      <c r="C49" t="str">
        <f>IF($S49="","",IF(INDEX('Master Tracker'!$C$6:$C$400,$S49)="","",INDEX('Master Tracker'!$C$6:$C$400,$S49)))</f>
        <v>Homepage Sections</v>
      </c>
      <c r="D49" t="str">
        <f>IF($S49="","",IF(INDEX('Master Tracker'!$D$6:$D$400,$S49)="","",INDEX('Master Tracker'!$D$6:$D$400,$S49)))</f>
        <v>Magazine cover slider</v>
      </c>
      <c r="E49" t="str">
        <f>IF($S49="","",IF(INDEX('Master Tracker'!$F$6:$F$400,$S49)="","",INDEX('Master Tracker'!$F$6:$F$400,$S49)))</f>
        <v>P1</v>
      </c>
      <c r="F49" t="str">
        <f>IF($S49="","",IF(INDEX('Master Tracker'!$G$6:$G$400,$S49)="","",INDEX('Master Tracker'!$G$6:$G$400,$S49)))</f>
        <v>Not Started</v>
      </c>
      <c r="G49">
        <f>IF($S49="","",IF(INDEX('Master Tracker'!$H$6:$H$400,$S49)="","",INDEX('Master Tracker'!$H$6:$H$400,$S49)))</f>
        <v>46311</v>
      </c>
      <c r="H49">
        <f>IF($S49="","",IF(INDEX('Master Tracker'!$I$6:$I$400,$S49)="","",INDEX('Master Tracker'!$I$6:$I$400,$S49)))</f>
        <v>46311</v>
      </c>
      <c r="I49">
        <f>IF($S49="","",IF(INDEX('Master Tracker'!$U$6:$U$400,$S49)="","",INDEX('Master Tracker'!$U$6:$U$400,$S49)))</f>
        <v>0</v>
      </c>
      <c r="J49" t="str">
        <f>IF($S49="","",IF(INDEX('Master Tracker'!$K$6:$K$400,$S49)="","",INDEX('Master Tracker'!$K$6:$K$400,$S49)))</f>
        <v>P2-01, P4-01</v>
      </c>
      <c r="K49" t="str">
        <f>IF($S49="","",IF(INDEX('Master Tracker'!$Y$6:$Y$400,$S49)="","",INDEX('Master Tracker'!$Y$6:$Y$400,$S49)))</f>
        <v>⏳ 2 open</v>
      </c>
      <c r="L49" t="str">
        <f>IF($S49="","",IF(INDEX('Master Tracker'!$M$6:$M$400,$S49)="","",INDEX('Master Tracker'!$M$6:$M$400,$S49)))</f>
        <v>template-parts/sections/cover-slider.php, assets/js/modules/slider.js</v>
      </c>
      <c r="M49" t="str">
        <f>IF($S49="","",IF(INDEX('Master Tracker'!$O$6:$O$400,$S49)="","",INDEX('Master Tracker'!$O$6:$O$400,$S49)))</f>
        <v>Slider shows latest issues automatically</v>
      </c>
      <c r="N49" t="str">
        <f>IF($S49="","",IF(INDEX('Master Tracker'!$N$6:$N$400,$S49)="","",INDEX('Master Tracker'!$N$6:$N$400,$S49)))</f>
        <v>Swipe on mobile; covers lazy-load; links open correct issue</v>
      </c>
      <c r="O49" t="str">
        <f>IF($S49="","",IF(INDEX('Master Tracker'!$T$6:$T$400,$S49)="","",INDEX('Master Tracker'!$T$6:$T$400,$S49)))</f>
        <v>Not Tested</v>
      </c>
      <c r="P49" t="str">
        <f>IF($S49="","",IF(INDEX('Master Tracker'!$AC$6:$AC$400,$S49)="","",INDEX('Master Tracker'!$AC$6:$AC$400,$S49)))</f>
        <v>On track</v>
      </c>
      <c r="S49">
        <f>IFERROR(MATCH("Phase 2|"&amp;A49,'Master Tracker'!$Z$6:$Z$400,0),"")</f>
        <v>28</v>
      </c>
    </row>
    <row r="50">
      <c r="A50">
        <v>12</v>
      </c>
      <c r="B50" t="str">
        <f>IF($S50="","",IF(INDEX('Master Tracker'!$A$6:$A$400,$S50)="","",INDEX('Master Tracker'!$A$6:$A$400,$S50)))</f>
        <v>P2-12</v>
      </c>
      <c r="C50" t="str">
        <f>IF($S50="","",IF(INDEX('Master Tracker'!$C$6:$C$400,$S50)="","",INDEX('Master Tracker'!$C$6:$C$400,$S50)))</f>
        <v>Homepage Sections</v>
      </c>
      <c r="D50" t="str">
        <f>IF($S50="","",IF(INDEX('Master Tracker'!$D$6:$D$400,$S50)="","",INDEX('Master Tracker'!$D$6:$D$400,$S50)))</f>
        <v>Chamber section</v>
      </c>
      <c r="E50" t="str">
        <f>IF($S50="","",IF(INDEX('Master Tracker'!$F$6:$F$400,$S50)="","",INDEX('Master Tracker'!$F$6:$F$400,$S50)))</f>
        <v>P1</v>
      </c>
      <c r="F50" t="str">
        <f>IF($S50="","",IF(INDEX('Master Tracker'!$G$6:$G$400,$S50)="","",INDEX('Master Tracker'!$G$6:$G$400,$S50)))</f>
        <v>Not Started</v>
      </c>
      <c r="G50">
        <f>IF($S50="","",IF(INDEX('Master Tracker'!$H$6:$H$400,$S50)="","",INDEX('Master Tracker'!$H$6:$H$400,$S50)))</f>
        <v>46311</v>
      </c>
      <c r="H50">
        <f>IF($S50="","",IF(INDEX('Master Tracker'!$I$6:$I$400,$S50)="","",INDEX('Master Tracker'!$I$6:$I$400,$S50)))</f>
        <v>46311</v>
      </c>
      <c r="I50">
        <f>IF($S50="","",IF(INDEX('Master Tracker'!$U$6:$U$400,$S50)="","",INDEX('Master Tracker'!$U$6:$U$400,$S50)))</f>
        <v>0</v>
      </c>
      <c r="J50" t="str">
        <f>IF($S50="","",IF(INDEX('Master Tracker'!$K$6:$K$400,$S50)="","",INDEX('Master Tracker'!$K$6:$K$400,$S50)))</f>
        <v>P2-01</v>
      </c>
      <c r="K50" t="str">
        <f>IF($S50="","",IF(INDEX('Master Tracker'!$Y$6:$Y$400,$S50)="","",INDEX('Master Tracker'!$Y$6:$Y$400,$S50)))</f>
        <v>⏳ 1 open</v>
      </c>
      <c r="L50" t="str">
        <f>IF($S50="","",IF(INDEX('Master Tracker'!$M$6:$M$400,$S50)="","",INDEX('Master Tracker'!$M$6:$M$400,$S50)))</f>
        <v>template-parts/sections/*</v>
      </c>
      <c r="M50" t="str">
        <f>IF($S50="","",IF(INDEX('Master Tracker'!$O$6:$O$400,$S50)="","",INDEX('Master Tracker'!$O$6:$O$400,$S50)))</f>
        <v>Chamber section renders configured posts</v>
      </c>
      <c r="N50" t="str">
        <f>IF($S50="","",IF(INDEX('Master Tracker'!$N$6:$N$400,$S50)="","",INDEX('Master Tracker'!$N$6:$N$400,$S50)))</f>
        <v>Configure source and layout; verify output</v>
      </c>
      <c r="O50" t="str">
        <f>IF($S50="","",IF(INDEX('Master Tracker'!$T$6:$T$400,$S50)="","",INDEX('Master Tracker'!$T$6:$T$400,$S50)))</f>
        <v>Not Tested</v>
      </c>
      <c r="P50" t="str">
        <f>IF($S50="","",IF(INDEX('Master Tracker'!$AC$6:$AC$400,$S50)="","",INDEX('Master Tracker'!$AC$6:$AC$400,$S50)))</f>
        <v>On track</v>
      </c>
      <c r="S50">
        <f>IFERROR(MATCH("Phase 2|"&amp;A50,'Master Tracker'!$Z$6:$Z$400,0),"")</f>
        <v>29</v>
      </c>
    </row>
    <row r="51">
      <c r="A51">
        <v>13</v>
      </c>
      <c r="B51" t="str">
        <f>IF($S51="","",IF(INDEX('Master Tracker'!$A$6:$A$400,$S51)="","",INDEX('Master Tracker'!$A$6:$A$400,$S51)))</f>
        <v>P2-13</v>
      </c>
      <c r="C51" t="str">
        <f>IF($S51="","",IF(INDEX('Master Tracker'!$C$6:$C$400,$S51)="","",INDEX('Master Tracker'!$C$6:$C$400,$S51)))</f>
        <v>Homepage Sections</v>
      </c>
      <c r="D51" t="str">
        <f>IF($S51="","",IF(INDEX('Master Tracker'!$D$6:$D$400,$S51)="","",INDEX('Master Tracker'!$D$6:$D$400,$S51)))</f>
        <v>Opinion / columnists section</v>
      </c>
      <c r="E51" t="str">
        <f>IF($S51="","",IF(INDEX('Master Tracker'!$F$6:$F$400,$S51)="","",INDEX('Master Tracker'!$F$6:$F$400,$S51)))</f>
        <v>P1</v>
      </c>
      <c r="F51" t="str">
        <f>IF($S51="","",IF(INDEX('Master Tracker'!$G$6:$G$400,$S51)="","",INDEX('Master Tracker'!$G$6:$G$400,$S51)))</f>
        <v>Not Started</v>
      </c>
      <c r="G51">
        <f>IF($S51="","",IF(INDEX('Master Tracker'!$H$6:$H$400,$S51)="","",INDEX('Master Tracker'!$H$6:$H$400,$S51)))</f>
        <v>46311</v>
      </c>
      <c r="H51">
        <f>IF($S51="","",IF(INDEX('Master Tracker'!$I$6:$I$400,$S51)="","",INDEX('Master Tracker'!$I$6:$I$400,$S51)))</f>
        <v>46311</v>
      </c>
      <c r="I51">
        <f>IF($S51="","",IF(INDEX('Master Tracker'!$U$6:$U$400,$S51)="","",INDEX('Master Tracker'!$U$6:$U$400,$S51)))</f>
        <v>0</v>
      </c>
      <c r="J51" t="str">
        <f>IF($S51="","",IF(INDEX('Master Tracker'!$K$6:$K$400,$S51)="","",INDEX('Master Tracker'!$K$6:$K$400,$S51)))</f>
        <v>P2-01</v>
      </c>
      <c r="K51" t="str">
        <f>IF($S51="","",IF(INDEX('Master Tracker'!$Y$6:$Y$400,$S51)="","",INDEX('Master Tracker'!$Y$6:$Y$400,$S51)))</f>
        <v>⏳ 1 open</v>
      </c>
      <c r="L51" t="str">
        <f>IF($S51="","",IF(INDEX('Master Tracker'!$M$6:$M$400,$S51)="","",INDEX('Master Tracker'!$M$6:$M$400,$S51)))</f>
        <v>template-parts/sections/opinion.php</v>
      </c>
      <c r="M51" t="str">
        <f>IF($S51="","",IF(INDEX('Master Tracker'!$O$6:$O$400,$S51)="","",INDEX('Master Tracker'!$O$6:$O$400,$S51)))</f>
        <v>Opinion section shows writers with working profile links</v>
      </c>
      <c r="N51" t="str">
        <f>IF($S51="","",IF(INDEX('Master Tracker'!$N$6:$N$400,$S51)="","",INDEX('Master Tracker'!$N$6:$N$400,$S51)))</f>
        <v>Check avatars, author links, fallback avatar</v>
      </c>
      <c r="O51" t="str">
        <f>IF($S51="","",IF(INDEX('Master Tracker'!$T$6:$T$400,$S51)="","",INDEX('Master Tracker'!$T$6:$T$400,$S51)))</f>
        <v>Not Tested</v>
      </c>
      <c r="P51" t="str">
        <f>IF($S51="","",IF(INDEX('Master Tracker'!$AC$6:$AC$400,$S51)="","",INDEX('Master Tracker'!$AC$6:$AC$400,$S51)))</f>
        <v>On track</v>
      </c>
      <c r="S51">
        <f>IFERROR(MATCH("Phase 2|"&amp;A51,'Master Tracker'!$Z$6:$Z$400,0),"")</f>
        <v>30</v>
      </c>
    </row>
    <row r="52">
      <c r="A52">
        <v>14</v>
      </c>
      <c r="B52" t="str">
        <f>IF($S52="","",IF(INDEX('Master Tracker'!$A$6:$A$400,$S52)="","",INDEX('Master Tracker'!$A$6:$A$400,$S52)))</f>
        <v>P2-14</v>
      </c>
      <c r="C52" t="str">
        <f>IF($S52="","",IF(INDEX('Master Tracker'!$C$6:$C$400,$S52)="","",INDEX('Master Tracker'!$C$6:$C$400,$S52)))</f>
        <v>Homepage Sections</v>
      </c>
      <c r="D52" t="str">
        <f>IF($S52="","",IF(INDEX('Master Tracker'!$D$6:$D$400,$S52)="","",INDEX('Master Tracker'!$D$6:$D$400,$S52)))</f>
        <v>Reports section</v>
      </c>
      <c r="E52" t="str">
        <f>IF($S52="","",IF(INDEX('Master Tracker'!$F$6:$F$400,$S52)="","",INDEX('Master Tracker'!$F$6:$F$400,$S52)))</f>
        <v>P1</v>
      </c>
      <c r="F52" t="str">
        <f>IF($S52="","",IF(INDEX('Master Tracker'!$G$6:$G$400,$S52)="","",INDEX('Master Tracker'!$G$6:$G$400,$S52)))</f>
        <v>Not Started</v>
      </c>
      <c r="G52">
        <f>IF($S52="","",IF(INDEX('Master Tracker'!$H$6:$H$400,$S52)="","",INDEX('Master Tracker'!$H$6:$H$400,$S52)))</f>
        <v>46311</v>
      </c>
      <c r="H52">
        <f>IF($S52="","",IF(INDEX('Master Tracker'!$I$6:$I$400,$S52)="","",INDEX('Master Tracker'!$I$6:$I$400,$S52)))</f>
        <v>46312</v>
      </c>
      <c r="I52">
        <f>IF($S52="","",IF(INDEX('Master Tracker'!$U$6:$U$400,$S52)="","",INDEX('Master Tracker'!$U$6:$U$400,$S52)))</f>
        <v>0</v>
      </c>
      <c r="J52" t="str">
        <f>IF($S52="","",IF(INDEX('Master Tracker'!$K$6:$K$400,$S52)="","",INDEX('Master Tracker'!$K$6:$K$400,$S52)))</f>
        <v>P2-01</v>
      </c>
      <c r="K52" t="str">
        <f>IF($S52="","",IF(INDEX('Master Tracker'!$Y$6:$Y$400,$S52)="","",INDEX('Master Tracker'!$Y$6:$Y$400,$S52)))</f>
        <v>⏳ 1 open</v>
      </c>
      <c r="L52" t="str">
        <f>IF($S52="","",IF(INDEX('Master Tracker'!$M$6:$M$400,$S52)="","",INDEX('Master Tracker'!$M$6:$M$400,$S52)))</f>
        <v>template-parts/sections/*</v>
      </c>
      <c r="M52" t="str">
        <f>IF($S52="","",IF(INDEX('Master Tracker'!$O$6:$O$400,$S52)="","",INDEX('Master Tracker'!$O$6:$O$400,$S52)))</f>
        <v>Reports section renders configured posts</v>
      </c>
      <c r="N52" t="str">
        <f>IF($S52="","",IF(INDEX('Master Tracker'!$N$6:$N$400,$S52)="","",INDEX('Master Tracker'!$N$6:$N$400,$S52)))</f>
        <v>Configure; verify output and layout</v>
      </c>
      <c r="O52" t="str">
        <f>IF($S52="","",IF(INDEX('Master Tracker'!$T$6:$T$400,$S52)="","",INDEX('Master Tracker'!$T$6:$T$400,$S52)))</f>
        <v>Not Tested</v>
      </c>
      <c r="P52" t="str">
        <f>IF($S52="","",IF(INDEX('Master Tracker'!$AC$6:$AC$400,$S52)="","",INDEX('Master Tracker'!$AC$6:$AC$400,$S52)))</f>
        <v>On track</v>
      </c>
      <c r="S52">
        <f>IFERROR(MATCH("Phase 2|"&amp;A52,'Master Tracker'!$Z$6:$Z$400,0),"")</f>
        <v>31</v>
      </c>
    </row>
    <row r="53">
      <c r="A53">
        <v>15</v>
      </c>
      <c r="B53" t="str">
        <f>IF($S53="","",IF(INDEX('Master Tracker'!$A$6:$A$400,$S53)="","",INDEX('Master Tracker'!$A$6:$A$400,$S53)))</f>
        <v>P2-15</v>
      </c>
      <c r="C53" t="str">
        <f>IF($S53="","",IF(INDEX('Master Tracker'!$C$6:$C$400,$S53)="","",INDEX('Master Tracker'!$C$6:$C$400,$S53)))</f>
        <v>Homepage Sections</v>
      </c>
      <c r="D53" t="str">
        <f>IF($S53="","",IF(INDEX('Master Tracker'!$D$6:$D$400,$S53)="","",INDEX('Master Tracker'!$D$6:$D$400,$S53)))</f>
        <v>Latest news &amp; article grid sections</v>
      </c>
      <c r="E53" t="str">
        <f>IF($S53="","",IF(INDEX('Master Tracker'!$F$6:$F$400,$S53)="","",INDEX('Master Tracker'!$F$6:$F$400,$S53)))</f>
        <v>P0</v>
      </c>
      <c r="F53" t="str">
        <f>IF($S53="","",IF(INDEX('Master Tracker'!$G$6:$G$400,$S53)="","",INDEX('Master Tracker'!$G$6:$G$400,$S53)))</f>
        <v>Not Started</v>
      </c>
      <c r="G53">
        <f>IF($S53="","",IF(INDEX('Master Tracker'!$H$6:$H$400,$S53)="","",INDEX('Master Tracker'!$H$6:$H$400,$S53)))</f>
        <v>46312</v>
      </c>
      <c r="H53">
        <f>IF($S53="","",IF(INDEX('Master Tracker'!$I$6:$I$400,$S53)="","",INDEX('Master Tracker'!$I$6:$I$400,$S53)))</f>
        <v>46312</v>
      </c>
      <c r="I53">
        <f>IF($S53="","",IF(INDEX('Master Tracker'!$U$6:$U$400,$S53)="","",INDEX('Master Tracker'!$U$6:$U$400,$S53)))</f>
        <v>0</v>
      </c>
      <c r="J53" t="str">
        <f>IF($S53="","",IF(INDEX('Master Tracker'!$K$6:$K$400,$S53)="","",INDEX('Master Tracker'!$K$6:$K$400,$S53)))</f>
        <v>P2-01</v>
      </c>
      <c r="K53" t="str">
        <f>IF($S53="","",IF(INDEX('Master Tracker'!$Y$6:$Y$400,$S53)="","",INDEX('Master Tracker'!$Y$6:$Y$400,$S53)))</f>
        <v>⏳ 1 open</v>
      </c>
      <c r="L53" t="str">
        <f>IF($S53="","",IF(INDEX('Master Tracker'!$M$6:$M$400,$S53)="","",INDEX('Master Tracker'!$M$6:$M$400,$S53)))</f>
        <v>template-parts/sections/grid.php</v>
      </c>
      <c r="M53" t="str">
        <f>IF($S53="","",IF(INDEX('Master Tracker'!$O$6:$O$400,$S53)="","",INDEX('Master Tracker'!$O$6:$O$400,$S53)))</f>
        <v>Article grids render and link to archives</v>
      </c>
      <c r="N53" t="str">
        <f>IF($S53="","",IF(INDEX('Master Tracker'!$N$6:$N$400,$S53)="","",INDEX('Master Tracker'!$N$6:$N$400,$S53)))</f>
        <v>Verify counts, links and de-duplication</v>
      </c>
      <c r="O53" t="str">
        <f>IF($S53="","",IF(INDEX('Master Tracker'!$T$6:$T$400,$S53)="","",INDEX('Master Tracker'!$T$6:$T$400,$S53)))</f>
        <v>Not Tested</v>
      </c>
      <c r="P53" t="str">
        <f>IF($S53="","",IF(INDEX('Master Tracker'!$AC$6:$AC$400,$S53)="","",INDEX('Master Tracker'!$AC$6:$AC$400,$S53)))</f>
        <v>On track</v>
      </c>
      <c r="S53">
        <f>IFERROR(MATCH("Phase 2|"&amp;A53,'Master Tracker'!$Z$6:$Z$400,0),"")</f>
        <v>32</v>
      </c>
    </row>
    <row r="54">
      <c r="A54">
        <v>16</v>
      </c>
      <c r="B54" t="str">
        <f>IF($S54="","",IF(INDEX('Master Tracker'!$A$6:$A$400,$S54)="","",INDEX('Master Tracker'!$A$6:$A$400,$S54)))</f>
        <v>P2-16</v>
      </c>
      <c r="C54" t="str">
        <f>IF($S54="","",IF(INDEX('Master Tracker'!$C$6:$C$400,$S54)="","",INDEX('Master Tracker'!$C$6:$C$400,$S54)))</f>
        <v>Sector Sections</v>
      </c>
      <c r="D54" t="str">
        <f>IF($S54="","",IF(INDEX('Master Tracker'!$D$6:$D$400,$S54)="","",INDEX('Master Tracker'!$D$6:$D$400,$S54)))</f>
        <v>Business section</v>
      </c>
      <c r="E54" t="str">
        <f>IF($S54="","",IF(INDEX('Master Tracker'!$F$6:$F$400,$S54)="","",INDEX('Master Tracker'!$F$6:$F$400,$S54)))</f>
        <v>P1</v>
      </c>
      <c r="F54" t="str">
        <f>IF($S54="","",IF(INDEX('Master Tracker'!$G$6:$G$400,$S54)="","",INDEX('Master Tracker'!$G$6:$G$400,$S54)))</f>
        <v>Not Started</v>
      </c>
      <c r="G54">
        <f>IF($S54="","",IF(INDEX('Master Tracker'!$H$6:$H$400,$S54)="","",INDEX('Master Tracker'!$H$6:$H$400,$S54)))</f>
        <v>46312</v>
      </c>
      <c r="H54">
        <f>IF($S54="","",IF(INDEX('Master Tracker'!$I$6:$I$400,$S54)="","",INDEX('Master Tracker'!$I$6:$I$400,$S54)))</f>
        <v>46312</v>
      </c>
      <c r="I54">
        <f>IF($S54="","",IF(INDEX('Master Tracker'!$U$6:$U$400,$S54)="","",INDEX('Master Tracker'!$U$6:$U$400,$S54)))</f>
        <v>0</v>
      </c>
      <c r="J54" t="str">
        <f>IF($S54="","",IF(INDEX('Master Tracker'!$K$6:$K$400,$S54)="","",INDEX('Master Tracker'!$K$6:$K$400,$S54)))</f>
        <v>P2-15</v>
      </c>
      <c r="K54" t="str">
        <f>IF($S54="","",IF(INDEX('Master Tracker'!$Y$6:$Y$400,$S54)="","",INDEX('Master Tracker'!$Y$6:$Y$400,$S54)))</f>
        <v>⏳ 1 open</v>
      </c>
      <c r="L54" t="str">
        <f>IF($S54="","",IF(INDEX('Master Tracker'!$M$6:$M$400,$S54)="","",INDEX('Master Tracker'!$M$6:$M$400,$S54)))</f>
        <v>template-parts/sections/*</v>
      </c>
      <c r="M54" t="str">
        <f>IF($S54="","",IF(INDEX('Master Tracker'!$O$6:$O$400,$S54)="","",INDEX('Master Tracker'!$O$6:$O$400,$S54)))</f>
        <v>Section live and editor-configurable</v>
      </c>
      <c r="N54" t="str">
        <f>IF($S54="","",IF(INDEX('Master Tracker'!$N$6:$N$400,$S54)="","",INDEX('Master Tracker'!$N$6:$N$400,$S54)))</f>
        <v>Verify source, count, layout</v>
      </c>
      <c r="O54" t="str">
        <f>IF($S54="","",IF(INDEX('Master Tracker'!$T$6:$T$400,$S54)="","",INDEX('Master Tracker'!$T$6:$T$400,$S54)))</f>
        <v>Not Tested</v>
      </c>
      <c r="P54" t="str">
        <f>IF($S54="","",IF(INDEX('Master Tracker'!$AC$6:$AC$400,$S54)="","",INDEX('Master Tracker'!$AC$6:$AC$400,$S54)))</f>
        <v>On track</v>
      </c>
      <c r="S54">
        <f>IFERROR(MATCH("Phase 2|"&amp;A54,'Master Tracker'!$Z$6:$Z$400,0),"")</f>
        <v>33</v>
      </c>
    </row>
    <row r="55">
      <c r="A55">
        <v>17</v>
      </c>
      <c r="B55" t="str">
        <f>IF($S55="","",IF(INDEX('Master Tracker'!$A$6:$A$400,$S55)="","",INDEX('Master Tracker'!$A$6:$A$400,$S55)))</f>
        <v>P2-17</v>
      </c>
      <c r="C55" t="str">
        <f>IF($S55="","",IF(INDEX('Master Tracker'!$C$6:$C$400,$S55)="","",INDEX('Master Tracker'!$C$6:$C$400,$S55)))</f>
        <v>Sector Sections</v>
      </c>
      <c r="D55" t="str">
        <f>IF($S55="","",IF(INDEX('Master Tracker'!$D$6:$D$400,$S55)="","",INDEX('Master Tracker'!$D$6:$D$400,$S55)))</f>
        <v>Real Estate section</v>
      </c>
      <c r="E55" t="str">
        <f>IF($S55="","",IF(INDEX('Master Tracker'!$F$6:$F$400,$S55)="","",INDEX('Master Tracker'!$F$6:$F$400,$S55)))</f>
        <v>P1</v>
      </c>
      <c r="F55" t="str">
        <f>IF($S55="","",IF(INDEX('Master Tracker'!$G$6:$G$400,$S55)="","",INDEX('Master Tracker'!$G$6:$G$400,$S55)))</f>
        <v>Not Started</v>
      </c>
      <c r="G55">
        <f>IF($S55="","",IF(INDEX('Master Tracker'!$H$6:$H$400,$S55)="","",INDEX('Master Tracker'!$H$6:$H$400,$S55)))</f>
        <v>46312</v>
      </c>
      <c r="H55">
        <f>IF($S55="","",IF(INDEX('Master Tracker'!$I$6:$I$400,$S55)="","",INDEX('Master Tracker'!$I$6:$I$400,$S55)))</f>
        <v>46312</v>
      </c>
      <c r="I55">
        <f>IF($S55="","",IF(INDEX('Master Tracker'!$U$6:$U$400,$S55)="","",INDEX('Master Tracker'!$U$6:$U$400,$S55)))</f>
        <v>0</v>
      </c>
      <c r="J55" t="str">
        <f>IF($S55="","",IF(INDEX('Master Tracker'!$K$6:$K$400,$S55)="","",INDEX('Master Tracker'!$K$6:$K$400,$S55)))</f>
        <v>P2-15</v>
      </c>
      <c r="K55" t="str">
        <f>IF($S55="","",IF(INDEX('Master Tracker'!$Y$6:$Y$400,$S55)="","",INDEX('Master Tracker'!$Y$6:$Y$400,$S55)))</f>
        <v>⏳ 1 open</v>
      </c>
      <c r="L55" t="str">
        <f>IF($S55="","",IF(INDEX('Master Tracker'!$M$6:$M$400,$S55)="","",INDEX('Master Tracker'!$M$6:$M$400,$S55)))</f>
        <v>template-parts/sections/*</v>
      </c>
      <c r="M55" t="str">
        <f>IF($S55="","",IF(INDEX('Master Tracker'!$O$6:$O$400,$S55)="","",INDEX('Master Tracker'!$O$6:$O$400,$S55)))</f>
        <v>Section live and editor-configurable</v>
      </c>
      <c r="N55" t="str">
        <f>IF($S55="","",IF(INDEX('Master Tracker'!$N$6:$N$400,$S55)="","",INDEX('Master Tracker'!$N$6:$N$400,$S55)))</f>
        <v>Verify source, count, layout</v>
      </c>
      <c r="O55" t="str">
        <f>IF($S55="","",IF(INDEX('Master Tracker'!$T$6:$T$400,$S55)="","",INDEX('Master Tracker'!$T$6:$T$400,$S55)))</f>
        <v>Not Tested</v>
      </c>
      <c r="P55" t="str">
        <f>IF($S55="","",IF(INDEX('Master Tracker'!$AC$6:$AC$400,$S55)="","",INDEX('Master Tracker'!$AC$6:$AC$400,$S55)))</f>
        <v>On track</v>
      </c>
      <c r="S55">
        <f>IFERROR(MATCH("Phase 2|"&amp;A55,'Master Tracker'!$Z$6:$Z$400,0),"")</f>
        <v>34</v>
      </c>
    </row>
    <row r="56">
      <c r="A56">
        <v>18</v>
      </c>
      <c r="B56" t="str">
        <f>IF($S56="","",IF(INDEX('Master Tracker'!$A$6:$A$400,$S56)="","",INDEX('Master Tracker'!$A$6:$A$400,$S56)))</f>
        <v>P2-18</v>
      </c>
      <c r="C56" t="str">
        <f>IF($S56="","",IF(INDEX('Master Tracker'!$C$6:$C$400,$S56)="","",INDEX('Master Tracker'!$C$6:$C$400,$S56)))</f>
        <v>Sector Sections</v>
      </c>
      <c r="D56" t="str">
        <f>IF($S56="","",IF(INDEX('Master Tracker'!$D$6:$D$400,$S56)="","",INDEX('Master Tracker'!$D$6:$D$400,$S56)))</f>
        <v>Automotive section</v>
      </c>
      <c r="E56" t="str">
        <f>IF($S56="","",IF(INDEX('Master Tracker'!$F$6:$F$400,$S56)="","",INDEX('Master Tracker'!$F$6:$F$400,$S56)))</f>
        <v>P1</v>
      </c>
      <c r="F56" t="str">
        <f>IF($S56="","",IF(INDEX('Master Tracker'!$G$6:$G$400,$S56)="","",INDEX('Master Tracker'!$G$6:$G$400,$S56)))</f>
        <v>Not Started</v>
      </c>
      <c r="G56">
        <f>IF($S56="","",IF(INDEX('Master Tracker'!$H$6:$H$400,$S56)="","",INDEX('Master Tracker'!$H$6:$H$400,$S56)))</f>
        <v>46312</v>
      </c>
      <c r="H56">
        <f>IF($S56="","",IF(INDEX('Master Tracker'!$I$6:$I$400,$S56)="","",INDEX('Master Tracker'!$I$6:$I$400,$S56)))</f>
        <v>46312</v>
      </c>
      <c r="I56">
        <f>IF($S56="","",IF(INDEX('Master Tracker'!$U$6:$U$400,$S56)="","",INDEX('Master Tracker'!$U$6:$U$400,$S56)))</f>
        <v>0</v>
      </c>
      <c r="J56" t="str">
        <f>IF($S56="","",IF(INDEX('Master Tracker'!$K$6:$K$400,$S56)="","",INDEX('Master Tracker'!$K$6:$K$400,$S56)))</f>
        <v>P2-15</v>
      </c>
      <c r="K56" t="str">
        <f>IF($S56="","",IF(INDEX('Master Tracker'!$Y$6:$Y$400,$S56)="","",INDEX('Master Tracker'!$Y$6:$Y$400,$S56)))</f>
        <v>⏳ 1 open</v>
      </c>
      <c r="L56" t="str">
        <f>IF($S56="","",IF(INDEX('Master Tracker'!$M$6:$M$400,$S56)="","",INDEX('Master Tracker'!$M$6:$M$400,$S56)))</f>
        <v>template-parts/sections/*</v>
      </c>
      <c r="M56" t="str">
        <f>IF($S56="","",IF(INDEX('Master Tracker'!$O$6:$O$400,$S56)="","",INDEX('Master Tracker'!$O$6:$O$400,$S56)))</f>
        <v>Section live and editor-configurable</v>
      </c>
      <c r="N56" t="str">
        <f>IF($S56="","",IF(INDEX('Master Tracker'!$N$6:$N$400,$S56)="","",INDEX('Master Tracker'!$N$6:$N$400,$S56)))</f>
        <v>Verify source, count, layout</v>
      </c>
      <c r="O56" t="str">
        <f>IF($S56="","",IF(INDEX('Master Tracker'!$T$6:$T$400,$S56)="","",INDEX('Master Tracker'!$T$6:$T$400,$S56)))</f>
        <v>Not Tested</v>
      </c>
      <c r="P56" t="str">
        <f>IF($S56="","",IF(INDEX('Master Tracker'!$AC$6:$AC$400,$S56)="","",INDEX('Master Tracker'!$AC$6:$AC$400,$S56)))</f>
        <v>On track</v>
      </c>
      <c r="S56">
        <f>IFERROR(MATCH("Phase 2|"&amp;A56,'Master Tracker'!$Z$6:$Z$400,0),"")</f>
        <v>35</v>
      </c>
    </row>
    <row r="57">
      <c r="A57">
        <v>19</v>
      </c>
      <c r="B57" t="str">
        <f>IF($S57="","",IF(INDEX('Master Tracker'!$A$6:$A$400,$S57)="","",INDEX('Master Tracker'!$A$6:$A$400,$S57)))</f>
        <v>P2-19</v>
      </c>
      <c r="C57" t="str">
        <f>IF($S57="","",IF(INDEX('Master Tracker'!$C$6:$C$400,$S57)="","",INDEX('Master Tracker'!$C$6:$C$400,$S57)))</f>
        <v>Sector Sections</v>
      </c>
      <c r="D57" t="str">
        <f>IF($S57="","",IF(INDEX('Master Tracker'!$D$6:$D$400,$S57)="","",INDEX('Master Tracker'!$D$6:$D$400,$S57)))</f>
        <v>Technology section</v>
      </c>
      <c r="E57" t="str">
        <f>IF($S57="","",IF(INDEX('Master Tracker'!$F$6:$F$400,$S57)="","",INDEX('Master Tracker'!$F$6:$F$400,$S57)))</f>
        <v>P1</v>
      </c>
      <c r="F57" t="str">
        <f>IF($S57="","",IF(INDEX('Master Tracker'!$G$6:$G$400,$S57)="","",INDEX('Master Tracker'!$G$6:$G$400,$S57)))</f>
        <v>Not Started</v>
      </c>
      <c r="G57">
        <f>IF($S57="","",IF(INDEX('Master Tracker'!$H$6:$H$400,$S57)="","",INDEX('Master Tracker'!$H$6:$H$400,$S57)))</f>
        <v>46312</v>
      </c>
      <c r="H57">
        <f>IF($S57="","",IF(INDEX('Master Tracker'!$I$6:$I$400,$S57)="","",INDEX('Master Tracker'!$I$6:$I$400,$S57)))</f>
        <v>46312</v>
      </c>
      <c r="I57">
        <f>IF($S57="","",IF(INDEX('Master Tracker'!$U$6:$U$400,$S57)="","",INDEX('Master Tracker'!$U$6:$U$400,$S57)))</f>
        <v>0</v>
      </c>
      <c r="J57" t="str">
        <f>IF($S57="","",IF(INDEX('Master Tracker'!$K$6:$K$400,$S57)="","",INDEX('Master Tracker'!$K$6:$K$400,$S57)))</f>
        <v>P2-15</v>
      </c>
      <c r="K57" t="str">
        <f>IF($S57="","",IF(INDEX('Master Tracker'!$Y$6:$Y$400,$S57)="","",INDEX('Master Tracker'!$Y$6:$Y$400,$S57)))</f>
        <v>⏳ 1 open</v>
      </c>
      <c r="L57" t="str">
        <f>IF($S57="","",IF(INDEX('Master Tracker'!$M$6:$M$400,$S57)="","",INDEX('Master Tracker'!$M$6:$M$400,$S57)))</f>
        <v>template-parts/sections/*</v>
      </c>
      <c r="M57" t="str">
        <f>IF($S57="","",IF(INDEX('Master Tracker'!$O$6:$O$400,$S57)="","",INDEX('Master Tracker'!$O$6:$O$400,$S57)))</f>
        <v>Section live and editor-configurable</v>
      </c>
      <c r="N57" t="str">
        <f>IF($S57="","",IF(INDEX('Master Tracker'!$N$6:$N$400,$S57)="","",INDEX('Master Tracker'!$N$6:$N$400,$S57)))</f>
        <v>Verify source, count, layout</v>
      </c>
      <c r="O57" t="str">
        <f>IF($S57="","",IF(INDEX('Master Tracker'!$T$6:$T$400,$S57)="","",INDEX('Master Tracker'!$T$6:$T$400,$S57)))</f>
        <v>Not Tested</v>
      </c>
      <c r="P57" t="str">
        <f>IF($S57="","",IF(INDEX('Master Tracker'!$AC$6:$AC$400,$S57)="","",INDEX('Master Tracker'!$AC$6:$AC$400,$S57)))</f>
        <v>On track</v>
      </c>
      <c r="S57">
        <f>IFERROR(MATCH("Phase 2|"&amp;A57,'Master Tracker'!$Z$6:$Z$400,0),"")</f>
        <v>36</v>
      </c>
    </row>
    <row r="58">
      <c r="A58">
        <v>20</v>
      </c>
      <c r="B58" t="str">
        <f>IF($S58="","",IF(INDEX('Master Tracker'!$A$6:$A$400,$S58)="","",INDEX('Master Tracker'!$A$6:$A$400,$S58)))</f>
        <v>P2-20</v>
      </c>
      <c r="C58" t="str">
        <f>IF($S58="","",IF(INDEX('Master Tracker'!$C$6:$C$400,$S58)="","",INDEX('Master Tracker'!$C$6:$C$400,$S58)))</f>
        <v>Sector Sections</v>
      </c>
      <c r="D58" t="str">
        <f>IF($S58="","",IF(INDEX('Master Tracker'!$D$6:$D$400,$S58)="","",INDEX('Master Tracker'!$D$6:$D$400,$S58)))</f>
        <v>Healthcare section</v>
      </c>
      <c r="E58" t="str">
        <f>IF($S58="","",IF(INDEX('Master Tracker'!$F$6:$F$400,$S58)="","",INDEX('Master Tracker'!$F$6:$F$400,$S58)))</f>
        <v>P1</v>
      </c>
      <c r="F58" t="str">
        <f>IF($S58="","",IF(INDEX('Master Tracker'!$G$6:$G$400,$S58)="","",INDEX('Master Tracker'!$G$6:$G$400,$S58)))</f>
        <v>Not Started</v>
      </c>
      <c r="G58">
        <f>IF($S58="","",IF(INDEX('Master Tracker'!$H$6:$H$400,$S58)="","",INDEX('Master Tracker'!$H$6:$H$400,$S58)))</f>
        <v>46312</v>
      </c>
      <c r="H58">
        <f>IF($S58="","",IF(INDEX('Master Tracker'!$I$6:$I$400,$S58)="","",INDEX('Master Tracker'!$I$6:$I$400,$S58)))</f>
        <v>46312</v>
      </c>
      <c r="I58">
        <f>IF($S58="","",IF(INDEX('Master Tracker'!$U$6:$U$400,$S58)="","",INDEX('Master Tracker'!$U$6:$U$400,$S58)))</f>
        <v>0</v>
      </c>
      <c r="J58" t="str">
        <f>IF($S58="","",IF(INDEX('Master Tracker'!$K$6:$K$400,$S58)="","",INDEX('Master Tracker'!$K$6:$K$400,$S58)))</f>
        <v>P2-15</v>
      </c>
      <c r="K58" t="str">
        <f>IF($S58="","",IF(INDEX('Master Tracker'!$Y$6:$Y$400,$S58)="","",INDEX('Master Tracker'!$Y$6:$Y$400,$S58)))</f>
        <v>⏳ 1 open</v>
      </c>
      <c r="L58" t="str">
        <f>IF($S58="","",IF(INDEX('Master Tracker'!$M$6:$M$400,$S58)="","",INDEX('Master Tracker'!$M$6:$M$400,$S58)))</f>
        <v>template-parts/sections/*</v>
      </c>
      <c r="M58" t="str">
        <f>IF($S58="","",IF(INDEX('Master Tracker'!$O$6:$O$400,$S58)="","",INDEX('Master Tracker'!$O$6:$O$400,$S58)))</f>
        <v>Section live and editor-configurable</v>
      </c>
      <c r="N58" t="str">
        <f>IF($S58="","",IF(INDEX('Master Tracker'!$N$6:$N$400,$S58)="","",INDEX('Master Tracker'!$N$6:$N$400,$S58)))</f>
        <v>Verify source, count, layout</v>
      </c>
      <c r="O58" t="str">
        <f>IF($S58="","",IF(INDEX('Master Tracker'!$T$6:$T$400,$S58)="","",INDEX('Master Tracker'!$T$6:$T$400,$S58)))</f>
        <v>Not Tested</v>
      </c>
      <c r="P58" t="str">
        <f>IF($S58="","",IF(INDEX('Master Tracker'!$AC$6:$AC$400,$S58)="","",INDEX('Master Tracker'!$AC$6:$AC$400,$S58)))</f>
        <v>On track</v>
      </c>
      <c r="S58">
        <f>IFERROR(MATCH("Phase 2|"&amp;A58,'Master Tracker'!$Z$6:$Z$400,0),"")</f>
        <v>37</v>
      </c>
    </row>
    <row r="59">
      <c r="A59">
        <v>21</v>
      </c>
      <c r="B59" t="str">
        <f>IF($S59="","",IF(INDEX('Master Tracker'!$A$6:$A$400,$S59)="","",INDEX('Master Tracker'!$A$6:$A$400,$S59)))</f>
        <v>P2-21</v>
      </c>
      <c r="C59" t="str">
        <f>IF($S59="","",IF(INDEX('Master Tracker'!$C$6:$C$400,$S59)="","",INDEX('Master Tracker'!$C$6:$C$400,$S59)))</f>
        <v>Sector Sections</v>
      </c>
      <c r="D59" t="str">
        <f>IF($S59="","",IF(INDEX('Master Tracker'!$D$6:$D$400,$S59)="","",INDEX('Master Tracker'!$D$6:$D$400,$S59)))</f>
        <v>Tourism section</v>
      </c>
      <c r="E59" t="str">
        <f>IF($S59="","",IF(INDEX('Master Tracker'!$F$6:$F$400,$S59)="","",INDEX('Master Tracker'!$F$6:$F$400,$S59)))</f>
        <v>P1</v>
      </c>
      <c r="F59" t="str">
        <f>IF($S59="","",IF(INDEX('Master Tracker'!$G$6:$G$400,$S59)="","",INDEX('Master Tracker'!$G$6:$G$400,$S59)))</f>
        <v>Not Started</v>
      </c>
      <c r="G59">
        <f>IF($S59="","",IF(INDEX('Master Tracker'!$H$6:$H$400,$S59)="","",INDEX('Master Tracker'!$H$6:$H$400,$S59)))</f>
        <v>46312</v>
      </c>
      <c r="H59">
        <f>IF($S59="","",IF(INDEX('Master Tracker'!$I$6:$I$400,$S59)="","",INDEX('Master Tracker'!$I$6:$I$400,$S59)))</f>
        <v>46312</v>
      </c>
      <c r="I59">
        <f>IF($S59="","",IF(INDEX('Master Tracker'!$U$6:$U$400,$S59)="","",INDEX('Master Tracker'!$U$6:$U$400,$S59)))</f>
        <v>0</v>
      </c>
      <c r="J59" t="str">
        <f>IF($S59="","",IF(INDEX('Master Tracker'!$K$6:$K$400,$S59)="","",INDEX('Master Tracker'!$K$6:$K$400,$S59)))</f>
        <v>P2-15</v>
      </c>
      <c r="K59" t="str">
        <f>IF($S59="","",IF(INDEX('Master Tracker'!$Y$6:$Y$400,$S59)="","",INDEX('Master Tracker'!$Y$6:$Y$400,$S59)))</f>
        <v>⏳ 1 open</v>
      </c>
      <c r="L59" t="str">
        <f>IF($S59="","",IF(INDEX('Master Tracker'!$M$6:$M$400,$S59)="","",INDEX('Master Tracker'!$M$6:$M$400,$S59)))</f>
        <v>template-parts/sections/*</v>
      </c>
      <c r="M59" t="str">
        <f>IF($S59="","",IF(INDEX('Master Tracker'!$O$6:$O$400,$S59)="","",INDEX('Master Tracker'!$O$6:$O$400,$S59)))</f>
        <v>Section live and editor-configurable</v>
      </c>
      <c r="N59" t="str">
        <f>IF($S59="","",IF(INDEX('Master Tracker'!$N$6:$N$400,$S59)="","",INDEX('Master Tracker'!$N$6:$N$400,$S59)))</f>
        <v>Verify source, count, layout</v>
      </c>
      <c r="O59" t="str">
        <f>IF($S59="","",IF(INDEX('Master Tracker'!$T$6:$T$400,$S59)="","",INDEX('Master Tracker'!$T$6:$T$400,$S59)))</f>
        <v>Not Tested</v>
      </c>
      <c r="P59" t="str">
        <f>IF($S59="","",IF(INDEX('Master Tracker'!$AC$6:$AC$400,$S59)="","",INDEX('Master Tracker'!$AC$6:$AC$400,$S59)))</f>
        <v>On track</v>
      </c>
      <c r="S59">
        <f>IFERROR(MATCH("Phase 2|"&amp;A59,'Master Tracker'!$Z$6:$Z$400,0),"")</f>
        <v>38</v>
      </c>
    </row>
    <row r="60">
      <c r="A60">
        <v>22</v>
      </c>
      <c r="B60" t="str">
        <f>IF($S60="","",IF(INDEX('Master Tracker'!$A$6:$A$400,$S60)="","",INDEX('Master Tracker'!$A$6:$A$400,$S60)))</f>
        <v>P2-22</v>
      </c>
      <c r="C60" t="str">
        <f>IF($S60="","",IF(INDEX('Master Tracker'!$C$6:$C$400,$S60)="","",INDEX('Master Tracker'!$C$6:$C$400,$S60)))</f>
        <v>Most Read</v>
      </c>
      <c r="D60" t="str">
        <f>IF($S60="","",IF(INDEX('Master Tracker'!$D$6:$D$400,$S60)="","",INDEX('Master Tracker'!$D$6:$D$400,$S60)))</f>
        <v>Most-read widget &amp; view counter</v>
      </c>
      <c r="E60" t="str">
        <f>IF($S60="","",IF(INDEX('Master Tracker'!$F$6:$F$400,$S60)="","",INDEX('Master Tracker'!$F$6:$F$400,$S60)))</f>
        <v>P0</v>
      </c>
      <c r="F60" t="str">
        <f>IF($S60="","",IF(INDEX('Master Tracker'!$G$6:$G$400,$S60)="","",INDEX('Master Tracker'!$G$6:$G$400,$S60)))</f>
        <v>Not Started</v>
      </c>
      <c r="G60">
        <f>IF($S60="","",IF(INDEX('Master Tracker'!$H$6:$H$400,$S60)="","",INDEX('Master Tracker'!$H$6:$H$400,$S60)))</f>
        <v>46312</v>
      </c>
      <c r="H60">
        <f>IF($S60="","",IF(INDEX('Master Tracker'!$I$6:$I$400,$S60)="","",INDEX('Master Tracker'!$I$6:$I$400,$S60)))</f>
        <v>46312</v>
      </c>
      <c r="I60">
        <f>IF($S60="","",IF(INDEX('Master Tracker'!$U$6:$U$400,$S60)="","",INDEX('Master Tracker'!$U$6:$U$400,$S60)))</f>
        <v>0</v>
      </c>
      <c r="J60" t="str">
        <f>IF($S60="","",IF(INDEX('Master Tracker'!$K$6:$K$400,$S60)="","",INDEX('Master Tracker'!$K$6:$K$400,$S60)))</f>
        <v>P1-14, P6-04</v>
      </c>
      <c r="K60" t="str">
        <f>IF($S60="","",IF(INDEX('Master Tracker'!$Y$6:$Y$400,$S60)="","",INDEX('Master Tracker'!$Y$6:$Y$400,$S60)))</f>
        <v>⏳ 2 open</v>
      </c>
      <c r="L60" t="str">
        <f>IF($S60="","",IF(INDEX('Master Tracker'!$M$6:$M$400,$S60)="","",INDEX('Master Tracker'!$M$6:$M$400,$S60)))</f>
        <v>inc/most-read.php, inc/widgets/most-read-widget.php, assets/js/modules/views.js</v>
      </c>
      <c r="M60" t="str">
        <f>IF($S60="","",IF(INDEX('Master Tracker'!$O$6:$O$400,$S60)="","",INDEX('Master Tracker'!$O$6:$O$400,$S60)))</f>
        <v>Most-read list accurate, cached, and works with LiteSpeed page cache</v>
      </c>
      <c r="N60" t="str">
        <f>IF($S60="","",IF(INDEX('Master Tracker'!$N$6:$N$400,$S60)="","",INDEX('Master Tracker'!$N$6:$N$400,$S60)))</f>
        <v>Open articles in private windows; counts increase once per session; tabs switch</v>
      </c>
      <c r="O60" t="str">
        <f>IF($S60="","",IF(INDEX('Master Tracker'!$T$6:$T$400,$S60)="","",INDEX('Master Tracker'!$T$6:$T$400,$S60)))</f>
        <v>Not Tested</v>
      </c>
      <c r="P60" t="str">
        <f>IF($S60="","",IF(INDEX('Master Tracker'!$AC$6:$AC$400,$S60)="","",INDEX('Master Tracker'!$AC$6:$AC$400,$S60)))</f>
        <v>On track</v>
      </c>
      <c r="S60">
        <f>IFERROR(MATCH("Phase 2|"&amp;A60,'Master Tracker'!$Z$6:$Z$400,0),"")</f>
        <v>39</v>
      </c>
    </row>
    <row r="61">
      <c r="A61">
        <v>23</v>
      </c>
      <c r="B61" t="str">
        <f>IF($S61="","",IF(INDEX('Master Tracker'!$A$6:$A$400,$S61)="","",INDEX('Master Tracker'!$A$6:$A$400,$S61)))</f>
        <v>P2-23</v>
      </c>
      <c r="C61" t="str">
        <f>IF($S61="","",IF(INDEX('Master Tracker'!$C$6:$C$400,$S61)="","",INDEX('Master Tracker'!$C$6:$C$400,$S61)))</f>
        <v>AdOps</v>
      </c>
      <c r="D61" t="str">
        <f>IF($S61="","",IF(INDEX('Master Tracker'!$D$6:$D$400,$S61)="","",INDEX('Master Tracker'!$D$6:$D$400,$S61)))</f>
        <v>Homepage advertisement slots</v>
      </c>
      <c r="E61" t="str">
        <f>IF($S61="","",IF(INDEX('Master Tracker'!$F$6:$F$400,$S61)="","",INDEX('Master Tracker'!$F$6:$F$400,$S61)))</f>
        <v>P1</v>
      </c>
      <c r="F61" t="str">
        <f>IF($S61="","",IF(INDEX('Master Tracker'!$G$6:$G$400,$S61)="","",INDEX('Master Tracker'!$G$6:$G$400,$S61)))</f>
        <v>Not Started</v>
      </c>
      <c r="G61">
        <f>IF($S61="","",IF(INDEX('Master Tracker'!$H$6:$H$400,$S61)="","",INDEX('Master Tracker'!$H$6:$H$400,$S61)))</f>
        <v>46312</v>
      </c>
      <c r="H61">
        <f>IF($S61="","",IF(INDEX('Master Tracker'!$I$6:$I$400,$S61)="","",INDEX('Master Tracker'!$I$6:$I$400,$S61)))</f>
        <v>46312</v>
      </c>
      <c r="I61">
        <f>IF($S61="","",IF(INDEX('Master Tracker'!$U$6:$U$400,$S61)="","",INDEX('Master Tracker'!$U$6:$U$400,$S61)))</f>
        <v>0</v>
      </c>
      <c r="J61" t="str">
        <f>IF($S61="","",IF(INDEX('Master Tracker'!$K$6:$K$400,$S61)="","",INDEX('Master Tracker'!$K$6:$K$400,$S61)))</f>
        <v>P2-01</v>
      </c>
      <c r="K61" t="str">
        <f>IF($S61="","",IF(INDEX('Master Tracker'!$Y$6:$Y$400,$S61)="","",INDEX('Master Tracker'!$Y$6:$Y$400,$S61)))</f>
        <v>⏳ 1 open</v>
      </c>
      <c r="L61" t="str">
        <f>IF($S61="","",IF(INDEX('Master Tracker'!$M$6:$M$400,$S61)="","",INDEX('Master Tracker'!$M$6:$M$400,$S61)))</f>
        <v>template-parts/components/ad-slot.php</v>
      </c>
      <c r="M61" t="str">
        <f>IF($S61="","",IF(INDEX('Master Tracker'!$O$6:$O$400,$S61)="","",INDEX('Master Tracker'!$O$6:$O$400,$S61)))</f>
        <v>Ads managed without code; no CLS</v>
      </c>
      <c r="N61" t="str">
        <f>IF($S61="","",IF(INDEX('Master Tracker'!$N$6:$N$400,$S61)="","",INDEX('Master Tracker'!$N$6:$N$400,$S61)))</f>
        <v>Add an ad in Customizer; check placement &amp; no layout shift</v>
      </c>
      <c r="O61" t="str">
        <f>IF($S61="","",IF(INDEX('Master Tracker'!$T$6:$T$400,$S61)="","",INDEX('Master Tracker'!$T$6:$T$400,$S61)))</f>
        <v>Not Tested</v>
      </c>
      <c r="P61" t="str">
        <f>IF($S61="","",IF(INDEX('Master Tracker'!$AC$6:$AC$400,$S61)="","",INDEX('Master Tracker'!$AC$6:$AC$400,$S61)))</f>
        <v>On track</v>
      </c>
      <c r="S61">
        <f>IFERROR(MATCH("Phase 2|"&amp;A61,'Master Tracker'!$Z$6:$Z$400,0),"")</f>
        <v>40</v>
      </c>
    </row>
    <row r="62">
      <c r="A62">
        <v>24</v>
      </c>
      <c r="B62" t="str">
        <f>IF($S62="","",IF(INDEX('Master Tracker'!$A$6:$A$400,$S62)="","",INDEX('Master Tracker'!$A$6:$A$400,$S62)))</f>
        <v>P2-24</v>
      </c>
      <c r="C62" t="str">
        <f>IF($S62="","",IF(INDEX('Master Tracker'!$C$6:$C$400,$S62)="","",INDEX('Master Tracker'!$C$6:$C$400,$S62)))</f>
        <v>Phase QA</v>
      </c>
      <c r="D62" t="str">
        <f>IF($S62="","",IF(INDEX('Master Tracker'!$D$6:$D$400,$S62)="","",INDEX('Master Tracker'!$D$6:$D$400,$S62)))</f>
        <v>Homepage performance &amp; responsive sign-off</v>
      </c>
      <c r="E62" t="str">
        <f>IF($S62="","",IF(INDEX('Master Tracker'!$F$6:$F$400,$S62)="","",INDEX('Master Tracker'!$F$6:$F$400,$S62)))</f>
        <v>P0</v>
      </c>
      <c r="F62" t="str">
        <f>IF($S62="","",IF(INDEX('Master Tracker'!$G$6:$G$400,$S62)="","",INDEX('Master Tracker'!$G$6:$G$400,$S62)))</f>
        <v>Not Started</v>
      </c>
      <c r="G62">
        <f>IF($S62="","",IF(INDEX('Master Tracker'!$H$6:$H$400,$S62)="","",INDEX('Master Tracker'!$H$6:$H$400,$S62)))</f>
        <v>46312</v>
      </c>
      <c r="H62">
        <f>IF($S62="","",IF(INDEX('Master Tracker'!$I$6:$I$400,$S62)="","",INDEX('Master Tracker'!$I$6:$I$400,$S62)))</f>
        <v>46312</v>
      </c>
      <c r="I62">
        <f>IF($S62="","",IF(INDEX('Master Tracker'!$U$6:$U$400,$S62)="","",INDEX('Master Tracker'!$U$6:$U$400,$S62)))</f>
        <v>0</v>
      </c>
      <c r="J62" t="str">
        <f>IF($S62="","",IF(INDEX('Master Tracker'!$K$6:$K$400,$S62)="","",INDEX('Master Tracker'!$K$6:$K$400,$S62)))</f>
        <v>P2-09, P2-10, P2-22</v>
      </c>
      <c r="K62" t="str">
        <f>IF($S62="","",IF(INDEX('Master Tracker'!$Y$6:$Y$400,$S62)="","",INDEX('Master Tracker'!$Y$6:$Y$400,$S62)))</f>
        <v>⏳ 3 open</v>
      </c>
      <c r="L62" t="str">
        <f>IF($S62="","",IF(INDEX('Master Tracker'!$M$6:$M$400,$S62)="","",INDEX('Master Tracker'!$M$6:$M$400,$S62)))</f>
        <v>front-page.php</v>
      </c>
      <c r="M62" t="str">
        <f>IF($S62="","",IF(INDEX('Master Tracker'!$O$6:$O$400,$S62)="","",INDEX('Master Tracker'!$O$6:$O$400,$S62)))</f>
        <v>Homepage meets performance targets and is approved for Phase 3</v>
      </c>
      <c r="N62" t="str">
        <f>IF($S62="","",IF(INDEX('Master Tracker'!$N$6:$N$400,$S62)="","",INDEX('Master Tracker'!$N$6:$N$400,$S62)))</f>
        <v>Lighthouse mobile run; Query Monitor warm/cold; 360/768/1440 check</v>
      </c>
      <c r="O62" t="str">
        <f>IF($S62="","",IF(INDEX('Master Tracker'!$T$6:$T$400,$S62)="","",INDEX('Master Tracker'!$T$6:$T$400,$S62)))</f>
        <v>Not Tested</v>
      </c>
      <c r="P62" t="str">
        <f>IF($S62="","",IF(INDEX('Master Tracker'!$AC$6:$AC$400,$S62)="","",INDEX('Master Tracker'!$AC$6:$AC$400,$S62)))</f>
        <v>On track</v>
      </c>
      <c r="S62">
        <f>IFERROR(MATCH("Phase 2|"&amp;A62,'Master Tracker'!$Z$6:$Z$400,0),"")</f>
        <v>41</v>
      </c>
    </row>
    <row r="63">
      <c r="A63">
        <v>25</v>
      </c>
      <c r="B63" t="str">
        <f>IF($S63="","",IF(INDEX('Master Tracker'!$A$6:$A$400,$S63)="","",INDEX('Master Tracker'!$A$6:$A$400,$S63)))</f>
        <v/>
      </c>
      <c r="C63" t="str">
        <f>IF($S63="","",IF(INDEX('Master Tracker'!$C$6:$C$400,$S63)="","",INDEX('Master Tracker'!$C$6:$C$400,$S63)))</f>
        <v/>
      </c>
      <c r="D63" t="str">
        <f>IF($S63="","",IF(INDEX('Master Tracker'!$D$6:$D$400,$S63)="","",INDEX('Master Tracker'!$D$6:$D$400,$S63)))</f>
        <v/>
      </c>
      <c r="E63" t="str">
        <f>IF($S63="","",IF(INDEX('Master Tracker'!$F$6:$F$400,$S63)="","",INDEX('Master Tracker'!$F$6:$F$400,$S63)))</f>
        <v/>
      </c>
      <c r="F63" t="str">
        <f>IF($S63="","",IF(INDEX('Master Tracker'!$G$6:$G$400,$S63)="","",INDEX('Master Tracker'!$G$6:$G$400,$S63)))</f>
        <v/>
      </c>
      <c r="G63" t="str">
        <f>IF($S63="","",IF(INDEX('Master Tracker'!$H$6:$H$400,$S63)="","",INDEX('Master Tracker'!$H$6:$H$400,$S63)))</f>
        <v/>
      </c>
      <c r="H63" t="str">
        <f>IF($S63="","",IF(INDEX('Master Tracker'!$I$6:$I$400,$S63)="","",INDEX('Master Tracker'!$I$6:$I$400,$S63)))</f>
        <v/>
      </c>
      <c r="I63" t="str">
        <f>IF($S63="","",IF(INDEX('Master Tracker'!$U$6:$U$400,$S63)="","",INDEX('Master Tracker'!$U$6:$U$400,$S63)))</f>
        <v/>
      </c>
      <c r="J63" t="str">
        <f>IF($S63="","",IF(INDEX('Master Tracker'!$K$6:$K$400,$S63)="","",INDEX('Master Tracker'!$K$6:$K$400,$S63)))</f>
        <v/>
      </c>
      <c r="K63" t="str">
        <f>IF($S63="","",IF(INDEX('Master Tracker'!$Y$6:$Y$400,$S63)="","",INDEX('Master Tracker'!$Y$6:$Y$400,$S63)))</f>
        <v/>
      </c>
      <c r="L63" t="str">
        <f>IF($S63="","",IF(INDEX('Master Tracker'!$M$6:$M$400,$S63)="","",INDEX('Master Tracker'!$M$6:$M$400,$S63)))</f>
        <v/>
      </c>
      <c r="M63" t="str">
        <f>IF($S63="","",IF(INDEX('Master Tracker'!$O$6:$O$400,$S63)="","",INDEX('Master Tracker'!$O$6:$O$400,$S63)))</f>
        <v/>
      </c>
      <c r="N63" t="str">
        <f>IF($S63="","",IF(INDEX('Master Tracker'!$N$6:$N$400,$S63)="","",INDEX('Master Tracker'!$N$6:$N$400,$S63)))</f>
        <v/>
      </c>
      <c r="O63" t="str">
        <f>IF($S63="","",IF(INDEX('Master Tracker'!$T$6:$T$400,$S63)="","",INDEX('Master Tracker'!$T$6:$T$400,$S63)))</f>
        <v/>
      </c>
      <c r="P63" t="str">
        <f>IF($S63="","",IF(INDEX('Master Tracker'!$AC$6:$AC$400,$S63)="","",INDEX('Master Tracker'!$AC$6:$AC$400,$S63)))</f>
        <v/>
      </c>
      <c r="S63" t="str">
        <f>IFERROR(MATCH("Phase 2|"&amp;A63,'Master Tracker'!$Z$6:$Z$400,0),"")</f>
        <v/>
      </c>
    </row>
    <row r="64">
      <c r="A64">
        <v>26</v>
      </c>
      <c r="B64" t="str">
        <f>IF($S64="","",IF(INDEX('Master Tracker'!$A$6:$A$400,$S64)="","",INDEX('Master Tracker'!$A$6:$A$400,$S64)))</f>
        <v/>
      </c>
      <c r="C64" t="str">
        <f>IF($S64="","",IF(INDEX('Master Tracker'!$C$6:$C$400,$S64)="","",INDEX('Master Tracker'!$C$6:$C$400,$S64)))</f>
        <v/>
      </c>
      <c r="D64" t="str">
        <f>IF($S64="","",IF(INDEX('Master Tracker'!$D$6:$D$400,$S64)="","",INDEX('Master Tracker'!$D$6:$D$400,$S64)))</f>
        <v/>
      </c>
      <c r="E64" t="str">
        <f>IF($S64="","",IF(INDEX('Master Tracker'!$F$6:$F$400,$S64)="","",INDEX('Master Tracker'!$F$6:$F$400,$S64)))</f>
        <v/>
      </c>
      <c r="F64" t="str">
        <f>IF($S64="","",IF(INDEX('Master Tracker'!$G$6:$G$400,$S64)="","",INDEX('Master Tracker'!$G$6:$G$400,$S64)))</f>
        <v/>
      </c>
      <c r="G64" t="str">
        <f>IF($S64="","",IF(INDEX('Master Tracker'!$H$6:$H$400,$S64)="","",INDEX('Master Tracker'!$H$6:$H$400,$S64)))</f>
        <v/>
      </c>
      <c r="H64" t="str">
        <f>IF($S64="","",IF(INDEX('Master Tracker'!$I$6:$I$400,$S64)="","",INDEX('Master Tracker'!$I$6:$I$400,$S64)))</f>
        <v/>
      </c>
      <c r="I64" t="str">
        <f>IF($S64="","",IF(INDEX('Master Tracker'!$U$6:$U$400,$S64)="","",INDEX('Master Tracker'!$U$6:$U$400,$S64)))</f>
        <v/>
      </c>
      <c r="J64" t="str">
        <f>IF($S64="","",IF(INDEX('Master Tracker'!$K$6:$K$400,$S64)="","",INDEX('Master Tracker'!$K$6:$K$400,$S64)))</f>
        <v/>
      </c>
      <c r="K64" t="str">
        <f>IF($S64="","",IF(INDEX('Master Tracker'!$Y$6:$Y$400,$S64)="","",INDEX('Master Tracker'!$Y$6:$Y$400,$S64)))</f>
        <v/>
      </c>
      <c r="L64" t="str">
        <f>IF($S64="","",IF(INDEX('Master Tracker'!$M$6:$M$400,$S64)="","",INDEX('Master Tracker'!$M$6:$M$400,$S64)))</f>
        <v/>
      </c>
      <c r="M64" t="str">
        <f>IF($S64="","",IF(INDEX('Master Tracker'!$O$6:$O$400,$S64)="","",INDEX('Master Tracker'!$O$6:$O$400,$S64)))</f>
        <v/>
      </c>
      <c r="N64" t="str">
        <f>IF($S64="","",IF(INDEX('Master Tracker'!$N$6:$N$400,$S64)="","",INDEX('Master Tracker'!$N$6:$N$400,$S64)))</f>
        <v/>
      </c>
      <c r="O64" t="str">
        <f>IF($S64="","",IF(INDEX('Master Tracker'!$T$6:$T$400,$S64)="","",INDEX('Master Tracker'!$T$6:$T$400,$S64)))</f>
        <v/>
      </c>
      <c r="P64" t="str">
        <f>IF($S64="","",IF(INDEX('Master Tracker'!$AC$6:$AC$400,$S64)="","",INDEX('Master Tracker'!$AC$6:$AC$400,$S64)))</f>
        <v/>
      </c>
      <c r="S64" t="str">
        <f>IFERROR(MATCH("Phase 2|"&amp;A64,'Master Tracker'!$Z$6:$Z$400,0),"")</f>
        <v/>
      </c>
    </row>
    <row r="65">
      <c r="A65">
        <v>27</v>
      </c>
      <c r="B65" t="str">
        <f>IF($S65="","",IF(INDEX('Master Tracker'!$A$6:$A$400,$S65)="","",INDEX('Master Tracker'!$A$6:$A$400,$S65)))</f>
        <v/>
      </c>
      <c r="C65" t="str">
        <f>IF($S65="","",IF(INDEX('Master Tracker'!$C$6:$C$400,$S65)="","",INDEX('Master Tracker'!$C$6:$C$400,$S65)))</f>
        <v/>
      </c>
      <c r="D65" t="str">
        <f>IF($S65="","",IF(INDEX('Master Tracker'!$D$6:$D$400,$S65)="","",INDEX('Master Tracker'!$D$6:$D$400,$S65)))</f>
        <v/>
      </c>
      <c r="E65" t="str">
        <f>IF($S65="","",IF(INDEX('Master Tracker'!$F$6:$F$400,$S65)="","",INDEX('Master Tracker'!$F$6:$F$400,$S65)))</f>
        <v/>
      </c>
      <c r="F65" t="str">
        <f>IF($S65="","",IF(INDEX('Master Tracker'!$G$6:$G$400,$S65)="","",INDEX('Master Tracker'!$G$6:$G$400,$S65)))</f>
        <v/>
      </c>
      <c r="G65" t="str">
        <f>IF($S65="","",IF(INDEX('Master Tracker'!$H$6:$H$400,$S65)="","",INDEX('Master Tracker'!$H$6:$H$400,$S65)))</f>
        <v/>
      </c>
      <c r="H65" t="str">
        <f>IF($S65="","",IF(INDEX('Master Tracker'!$I$6:$I$400,$S65)="","",INDEX('Master Tracker'!$I$6:$I$400,$S65)))</f>
        <v/>
      </c>
      <c r="I65" t="str">
        <f>IF($S65="","",IF(INDEX('Master Tracker'!$U$6:$U$400,$S65)="","",INDEX('Master Tracker'!$U$6:$U$400,$S65)))</f>
        <v/>
      </c>
      <c r="J65" t="str">
        <f>IF($S65="","",IF(INDEX('Master Tracker'!$K$6:$K$400,$S65)="","",INDEX('Master Tracker'!$K$6:$K$400,$S65)))</f>
        <v/>
      </c>
      <c r="K65" t="str">
        <f>IF($S65="","",IF(INDEX('Master Tracker'!$Y$6:$Y$400,$S65)="","",INDEX('Master Tracker'!$Y$6:$Y$400,$S65)))</f>
        <v/>
      </c>
      <c r="L65" t="str">
        <f>IF($S65="","",IF(INDEX('Master Tracker'!$M$6:$M$400,$S65)="","",INDEX('Master Tracker'!$M$6:$M$400,$S65)))</f>
        <v/>
      </c>
      <c r="M65" t="str">
        <f>IF($S65="","",IF(INDEX('Master Tracker'!$O$6:$O$400,$S65)="","",INDEX('Master Tracker'!$O$6:$O$400,$S65)))</f>
        <v/>
      </c>
      <c r="N65" t="str">
        <f>IF($S65="","",IF(INDEX('Master Tracker'!$N$6:$N$400,$S65)="","",INDEX('Master Tracker'!$N$6:$N$400,$S65)))</f>
        <v/>
      </c>
      <c r="O65" t="str">
        <f>IF($S65="","",IF(INDEX('Master Tracker'!$T$6:$T$400,$S65)="","",INDEX('Master Tracker'!$T$6:$T$400,$S65)))</f>
        <v/>
      </c>
      <c r="P65" t="str">
        <f>IF($S65="","",IF(INDEX('Master Tracker'!$AC$6:$AC$400,$S65)="","",INDEX('Master Tracker'!$AC$6:$AC$400,$S65)))</f>
        <v/>
      </c>
      <c r="S65" t="str">
        <f>IFERROR(MATCH("Phase 2|"&amp;A65,'Master Tracker'!$Z$6:$Z$400,0),"")</f>
        <v/>
      </c>
    </row>
    <row r="66">
      <c r="A66">
        <v>28</v>
      </c>
      <c r="B66" t="str">
        <f>IF($S66="","",IF(INDEX('Master Tracker'!$A$6:$A$400,$S66)="","",INDEX('Master Tracker'!$A$6:$A$400,$S66)))</f>
        <v/>
      </c>
      <c r="C66" t="str">
        <f>IF($S66="","",IF(INDEX('Master Tracker'!$C$6:$C$400,$S66)="","",INDEX('Master Tracker'!$C$6:$C$400,$S66)))</f>
        <v/>
      </c>
      <c r="D66" t="str">
        <f>IF($S66="","",IF(INDEX('Master Tracker'!$D$6:$D$400,$S66)="","",INDEX('Master Tracker'!$D$6:$D$400,$S66)))</f>
        <v/>
      </c>
      <c r="E66" t="str">
        <f>IF($S66="","",IF(INDEX('Master Tracker'!$F$6:$F$400,$S66)="","",INDEX('Master Tracker'!$F$6:$F$400,$S66)))</f>
        <v/>
      </c>
      <c r="F66" t="str">
        <f>IF($S66="","",IF(INDEX('Master Tracker'!$G$6:$G$400,$S66)="","",INDEX('Master Tracker'!$G$6:$G$400,$S66)))</f>
        <v/>
      </c>
      <c r="G66" t="str">
        <f>IF($S66="","",IF(INDEX('Master Tracker'!$H$6:$H$400,$S66)="","",INDEX('Master Tracker'!$H$6:$H$400,$S66)))</f>
        <v/>
      </c>
      <c r="H66" t="str">
        <f>IF($S66="","",IF(INDEX('Master Tracker'!$I$6:$I$400,$S66)="","",INDEX('Master Tracker'!$I$6:$I$400,$S66)))</f>
        <v/>
      </c>
      <c r="I66" t="str">
        <f>IF($S66="","",IF(INDEX('Master Tracker'!$U$6:$U$400,$S66)="","",INDEX('Master Tracker'!$U$6:$U$400,$S66)))</f>
        <v/>
      </c>
      <c r="J66" t="str">
        <f>IF($S66="","",IF(INDEX('Master Tracker'!$K$6:$K$400,$S66)="","",INDEX('Master Tracker'!$K$6:$K$400,$S66)))</f>
        <v/>
      </c>
      <c r="K66" t="str">
        <f>IF($S66="","",IF(INDEX('Master Tracker'!$Y$6:$Y$400,$S66)="","",INDEX('Master Tracker'!$Y$6:$Y$400,$S66)))</f>
        <v/>
      </c>
      <c r="L66" t="str">
        <f>IF($S66="","",IF(INDEX('Master Tracker'!$M$6:$M$400,$S66)="","",INDEX('Master Tracker'!$M$6:$M$400,$S66)))</f>
        <v/>
      </c>
      <c r="M66" t="str">
        <f>IF($S66="","",IF(INDEX('Master Tracker'!$O$6:$O$400,$S66)="","",INDEX('Master Tracker'!$O$6:$O$400,$S66)))</f>
        <v/>
      </c>
      <c r="N66" t="str">
        <f>IF($S66="","",IF(INDEX('Master Tracker'!$N$6:$N$400,$S66)="","",INDEX('Master Tracker'!$N$6:$N$400,$S66)))</f>
        <v/>
      </c>
      <c r="O66" t="str">
        <f>IF($S66="","",IF(INDEX('Master Tracker'!$T$6:$T$400,$S66)="","",INDEX('Master Tracker'!$T$6:$T$400,$S66)))</f>
        <v/>
      </c>
      <c r="P66" t="str">
        <f>IF($S66="","",IF(INDEX('Master Tracker'!$AC$6:$AC$400,$S66)="","",INDEX('Master Tracker'!$AC$6:$AC$400,$S66)))</f>
        <v/>
      </c>
      <c r="S66" t="str">
        <f>IFERROR(MATCH("Phase 2|"&amp;A66,'Master Tracker'!$Z$6:$Z$400,0),"")</f>
        <v/>
      </c>
    </row>
    <row r="67">
      <c r="A67">
        <v>29</v>
      </c>
      <c r="B67" t="str">
        <f>IF($S67="","",IF(INDEX('Master Tracker'!$A$6:$A$400,$S67)="","",INDEX('Master Tracker'!$A$6:$A$400,$S67)))</f>
        <v/>
      </c>
      <c r="C67" t="str">
        <f>IF($S67="","",IF(INDEX('Master Tracker'!$C$6:$C$400,$S67)="","",INDEX('Master Tracker'!$C$6:$C$400,$S67)))</f>
        <v/>
      </c>
      <c r="D67" t="str">
        <f>IF($S67="","",IF(INDEX('Master Tracker'!$D$6:$D$400,$S67)="","",INDEX('Master Tracker'!$D$6:$D$400,$S67)))</f>
        <v/>
      </c>
      <c r="E67" t="str">
        <f>IF($S67="","",IF(INDEX('Master Tracker'!$F$6:$F$400,$S67)="","",INDEX('Master Tracker'!$F$6:$F$400,$S67)))</f>
        <v/>
      </c>
      <c r="F67" t="str">
        <f>IF($S67="","",IF(INDEX('Master Tracker'!$G$6:$G$400,$S67)="","",INDEX('Master Tracker'!$G$6:$G$400,$S67)))</f>
        <v/>
      </c>
      <c r="G67" t="str">
        <f>IF($S67="","",IF(INDEX('Master Tracker'!$H$6:$H$400,$S67)="","",INDEX('Master Tracker'!$H$6:$H$400,$S67)))</f>
        <v/>
      </c>
      <c r="H67" t="str">
        <f>IF($S67="","",IF(INDEX('Master Tracker'!$I$6:$I$400,$S67)="","",INDEX('Master Tracker'!$I$6:$I$400,$S67)))</f>
        <v/>
      </c>
      <c r="I67" t="str">
        <f>IF($S67="","",IF(INDEX('Master Tracker'!$U$6:$U$400,$S67)="","",INDEX('Master Tracker'!$U$6:$U$400,$S67)))</f>
        <v/>
      </c>
      <c r="J67" t="str">
        <f>IF($S67="","",IF(INDEX('Master Tracker'!$K$6:$K$400,$S67)="","",INDEX('Master Tracker'!$K$6:$K$400,$S67)))</f>
        <v/>
      </c>
      <c r="K67" t="str">
        <f>IF($S67="","",IF(INDEX('Master Tracker'!$Y$6:$Y$400,$S67)="","",INDEX('Master Tracker'!$Y$6:$Y$400,$S67)))</f>
        <v/>
      </c>
      <c r="L67" t="str">
        <f>IF($S67="","",IF(INDEX('Master Tracker'!$M$6:$M$400,$S67)="","",INDEX('Master Tracker'!$M$6:$M$400,$S67)))</f>
        <v/>
      </c>
      <c r="M67" t="str">
        <f>IF($S67="","",IF(INDEX('Master Tracker'!$O$6:$O$400,$S67)="","",INDEX('Master Tracker'!$O$6:$O$400,$S67)))</f>
        <v/>
      </c>
      <c r="N67" t="str">
        <f>IF($S67="","",IF(INDEX('Master Tracker'!$N$6:$N$400,$S67)="","",INDEX('Master Tracker'!$N$6:$N$400,$S67)))</f>
        <v/>
      </c>
      <c r="O67" t="str">
        <f>IF($S67="","",IF(INDEX('Master Tracker'!$T$6:$T$400,$S67)="","",INDEX('Master Tracker'!$T$6:$T$400,$S67)))</f>
        <v/>
      </c>
      <c r="P67" t="str">
        <f>IF($S67="","",IF(INDEX('Master Tracker'!$AC$6:$AC$400,$S67)="","",INDEX('Master Tracker'!$AC$6:$AC$400,$S67)))</f>
        <v/>
      </c>
      <c r="S67" t="str">
        <f>IFERROR(MATCH("Phase 2|"&amp;A67,'Master Tracker'!$Z$6:$Z$400,0),"")</f>
        <v/>
      </c>
    </row>
    <row r="68">
      <c r="A68">
        <v>30</v>
      </c>
      <c r="B68" t="str">
        <f>IF($S68="","",IF(INDEX('Master Tracker'!$A$6:$A$400,$S68)="","",INDEX('Master Tracker'!$A$6:$A$400,$S68)))</f>
        <v/>
      </c>
      <c r="C68" t="str">
        <f>IF($S68="","",IF(INDEX('Master Tracker'!$C$6:$C$400,$S68)="","",INDEX('Master Tracker'!$C$6:$C$400,$S68)))</f>
        <v/>
      </c>
      <c r="D68" t="str">
        <f>IF($S68="","",IF(INDEX('Master Tracker'!$D$6:$D$400,$S68)="","",INDEX('Master Tracker'!$D$6:$D$400,$S68)))</f>
        <v/>
      </c>
      <c r="E68" t="str">
        <f>IF($S68="","",IF(INDEX('Master Tracker'!$F$6:$F$400,$S68)="","",INDEX('Master Tracker'!$F$6:$F$400,$S68)))</f>
        <v/>
      </c>
      <c r="F68" t="str">
        <f>IF($S68="","",IF(INDEX('Master Tracker'!$G$6:$G$400,$S68)="","",INDEX('Master Tracker'!$G$6:$G$400,$S68)))</f>
        <v/>
      </c>
      <c r="G68" t="str">
        <f>IF($S68="","",IF(INDEX('Master Tracker'!$H$6:$H$400,$S68)="","",INDEX('Master Tracker'!$H$6:$H$400,$S68)))</f>
        <v/>
      </c>
      <c r="H68" t="str">
        <f>IF($S68="","",IF(INDEX('Master Tracker'!$I$6:$I$400,$S68)="","",INDEX('Master Tracker'!$I$6:$I$400,$S68)))</f>
        <v/>
      </c>
      <c r="I68" t="str">
        <f>IF($S68="","",IF(INDEX('Master Tracker'!$U$6:$U$400,$S68)="","",INDEX('Master Tracker'!$U$6:$U$400,$S68)))</f>
        <v/>
      </c>
      <c r="J68" t="str">
        <f>IF($S68="","",IF(INDEX('Master Tracker'!$K$6:$K$400,$S68)="","",INDEX('Master Tracker'!$K$6:$K$400,$S68)))</f>
        <v/>
      </c>
      <c r="K68" t="str">
        <f>IF($S68="","",IF(INDEX('Master Tracker'!$Y$6:$Y$400,$S68)="","",INDEX('Master Tracker'!$Y$6:$Y$400,$S68)))</f>
        <v/>
      </c>
      <c r="L68" t="str">
        <f>IF($S68="","",IF(INDEX('Master Tracker'!$M$6:$M$400,$S68)="","",INDEX('Master Tracker'!$M$6:$M$400,$S68)))</f>
        <v/>
      </c>
      <c r="M68" t="str">
        <f>IF($S68="","",IF(INDEX('Master Tracker'!$O$6:$O$400,$S68)="","",INDEX('Master Tracker'!$O$6:$O$400,$S68)))</f>
        <v/>
      </c>
      <c r="N68" t="str">
        <f>IF($S68="","",IF(INDEX('Master Tracker'!$N$6:$N$400,$S68)="","",INDEX('Master Tracker'!$N$6:$N$400,$S68)))</f>
        <v/>
      </c>
      <c r="O68" t="str">
        <f>IF($S68="","",IF(INDEX('Master Tracker'!$T$6:$T$400,$S68)="","",INDEX('Master Tracker'!$T$6:$T$400,$S68)))</f>
        <v/>
      </c>
      <c r="P68" t="str">
        <f>IF($S68="","",IF(INDEX('Master Tracker'!$AC$6:$AC$400,$S68)="","",INDEX('Master Tracker'!$AC$6:$AC$400,$S68)))</f>
        <v/>
      </c>
      <c r="S68" t="str">
        <f>IFERROR(MATCH("Phase 2|"&amp;A68,'Master Tracker'!$Z$6:$Z$400,0),"")</f>
        <v/>
      </c>
    </row>
    <row r="69">
      <c r="A69">
        <v>31</v>
      </c>
      <c r="B69" t="str">
        <f>IF($S69="","",IF(INDEX('Master Tracker'!$A$6:$A$400,$S69)="","",INDEX('Master Tracker'!$A$6:$A$400,$S69)))</f>
        <v/>
      </c>
      <c r="C69" t="str">
        <f>IF($S69="","",IF(INDEX('Master Tracker'!$C$6:$C$400,$S69)="","",INDEX('Master Tracker'!$C$6:$C$400,$S69)))</f>
        <v/>
      </c>
      <c r="D69" t="str">
        <f>IF($S69="","",IF(INDEX('Master Tracker'!$D$6:$D$400,$S69)="","",INDEX('Master Tracker'!$D$6:$D$400,$S69)))</f>
        <v/>
      </c>
      <c r="E69" t="str">
        <f>IF($S69="","",IF(INDEX('Master Tracker'!$F$6:$F$400,$S69)="","",INDEX('Master Tracker'!$F$6:$F$400,$S69)))</f>
        <v/>
      </c>
      <c r="F69" t="str">
        <f>IF($S69="","",IF(INDEX('Master Tracker'!$G$6:$G$400,$S69)="","",INDEX('Master Tracker'!$G$6:$G$400,$S69)))</f>
        <v/>
      </c>
      <c r="G69" t="str">
        <f>IF($S69="","",IF(INDEX('Master Tracker'!$H$6:$H$400,$S69)="","",INDEX('Master Tracker'!$H$6:$H$400,$S69)))</f>
        <v/>
      </c>
      <c r="H69" t="str">
        <f>IF($S69="","",IF(INDEX('Master Tracker'!$I$6:$I$400,$S69)="","",INDEX('Master Tracker'!$I$6:$I$400,$S69)))</f>
        <v/>
      </c>
      <c r="I69" t="str">
        <f>IF($S69="","",IF(INDEX('Master Tracker'!$U$6:$U$400,$S69)="","",INDEX('Master Tracker'!$U$6:$U$400,$S69)))</f>
        <v/>
      </c>
      <c r="J69" t="str">
        <f>IF($S69="","",IF(INDEX('Master Tracker'!$K$6:$K$400,$S69)="","",INDEX('Master Tracker'!$K$6:$K$400,$S69)))</f>
        <v/>
      </c>
      <c r="K69" t="str">
        <f>IF($S69="","",IF(INDEX('Master Tracker'!$Y$6:$Y$400,$S69)="","",INDEX('Master Tracker'!$Y$6:$Y$400,$S69)))</f>
        <v/>
      </c>
      <c r="L69" t="str">
        <f>IF($S69="","",IF(INDEX('Master Tracker'!$M$6:$M$400,$S69)="","",INDEX('Master Tracker'!$M$6:$M$400,$S69)))</f>
        <v/>
      </c>
      <c r="M69" t="str">
        <f>IF($S69="","",IF(INDEX('Master Tracker'!$O$6:$O$400,$S69)="","",INDEX('Master Tracker'!$O$6:$O$400,$S69)))</f>
        <v/>
      </c>
      <c r="N69" t="str">
        <f>IF($S69="","",IF(INDEX('Master Tracker'!$N$6:$N$400,$S69)="","",INDEX('Master Tracker'!$N$6:$N$400,$S69)))</f>
        <v/>
      </c>
      <c r="O69" t="str">
        <f>IF($S69="","",IF(INDEX('Master Tracker'!$T$6:$T$400,$S69)="","",INDEX('Master Tracker'!$T$6:$T$400,$S69)))</f>
        <v/>
      </c>
      <c r="P69" t="str">
        <f>IF($S69="","",IF(INDEX('Master Tracker'!$AC$6:$AC$400,$S69)="","",INDEX('Master Tracker'!$AC$6:$AC$400,$S69)))</f>
        <v/>
      </c>
      <c r="S69" t="str">
        <f>IFERROR(MATCH("Phase 2|"&amp;A69,'Master Tracker'!$Z$6:$Z$400,0),"")</f>
        <v/>
      </c>
    </row>
    <row r="70">
      <c r="A70">
        <v>32</v>
      </c>
      <c r="B70" t="str">
        <f>IF($S70="","",IF(INDEX('Master Tracker'!$A$6:$A$400,$S70)="","",INDEX('Master Tracker'!$A$6:$A$400,$S70)))</f>
        <v/>
      </c>
      <c r="C70" t="str">
        <f>IF($S70="","",IF(INDEX('Master Tracker'!$C$6:$C$400,$S70)="","",INDEX('Master Tracker'!$C$6:$C$400,$S70)))</f>
        <v/>
      </c>
      <c r="D70" t="str">
        <f>IF($S70="","",IF(INDEX('Master Tracker'!$D$6:$D$400,$S70)="","",INDEX('Master Tracker'!$D$6:$D$400,$S70)))</f>
        <v/>
      </c>
      <c r="E70" t="str">
        <f>IF($S70="","",IF(INDEX('Master Tracker'!$F$6:$F$400,$S70)="","",INDEX('Master Tracker'!$F$6:$F$400,$S70)))</f>
        <v/>
      </c>
      <c r="F70" t="str">
        <f>IF($S70="","",IF(INDEX('Master Tracker'!$G$6:$G$400,$S70)="","",INDEX('Master Tracker'!$G$6:$G$400,$S70)))</f>
        <v/>
      </c>
      <c r="G70" t="str">
        <f>IF($S70="","",IF(INDEX('Master Tracker'!$H$6:$H$400,$S70)="","",INDEX('Master Tracker'!$H$6:$H$400,$S70)))</f>
        <v/>
      </c>
      <c r="H70" t="str">
        <f>IF($S70="","",IF(INDEX('Master Tracker'!$I$6:$I$400,$S70)="","",INDEX('Master Tracker'!$I$6:$I$400,$S70)))</f>
        <v/>
      </c>
      <c r="I70" t="str">
        <f>IF($S70="","",IF(INDEX('Master Tracker'!$U$6:$U$400,$S70)="","",INDEX('Master Tracker'!$U$6:$U$400,$S70)))</f>
        <v/>
      </c>
      <c r="J70" t="str">
        <f>IF($S70="","",IF(INDEX('Master Tracker'!$K$6:$K$400,$S70)="","",INDEX('Master Tracker'!$K$6:$K$400,$S70)))</f>
        <v/>
      </c>
      <c r="K70" t="str">
        <f>IF($S70="","",IF(INDEX('Master Tracker'!$Y$6:$Y$400,$S70)="","",INDEX('Master Tracker'!$Y$6:$Y$400,$S70)))</f>
        <v/>
      </c>
      <c r="L70" t="str">
        <f>IF($S70="","",IF(INDEX('Master Tracker'!$M$6:$M$400,$S70)="","",INDEX('Master Tracker'!$M$6:$M$400,$S70)))</f>
        <v/>
      </c>
      <c r="M70" t="str">
        <f>IF($S70="","",IF(INDEX('Master Tracker'!$O$6:$O$400,$S70)="","",INDEX('Master Tracker'!$O$6:$O$400,$S70)))</f>
        <v/>
      </c>
      <c r="N70" t="str">
        <f>IF($S70="","",IF(INDEX('Master Tracker'!$N$6:$N$400,$S70)="","",INDEX('Master Tracker'!$N$6:$N$400,$S70)))</f>
        <v/>
      </c>
      <c r="O70" t="str">
        <f>IF($S70="","",IF(INDEX('Master Tracker'!$T$6:$T$400,$S70)="","",INDEX('Master Tracker'!$T$6:$T$400,$S70)))</f>
        <v/>
      </c>
      <c r="P70" t="str">
        <f>IF($S70="","",IF(INDEX('Master Tracker'!$AC$6:$AC$400,$S70)="","",INDEX('Master Tracker'!$AC$6:$AC$400,$S70)))</f>
        <v/>
      </c>
      <c r="S70" t="str">
        <f>IFERROR(MATCH("Phase 2|"&amp;A70,'Master Tracker'!$Z$6:$Z$400,0),"")</f>
        <v/>
      </c>
    </row>
  </sheetData>
  <mergeCells count="52">
    <mergeCell ref="A1:R1"/>
    <mergeCell ref="J13:R13"/>
    <mergeCell ref="A19:H19"/>
    <mergeCell ref="B33:R33"/>
    <mergeCell ref="P6:R6"/>
    <mergeCell ref="A2:R2"/>
    <mergeCell ref="A16:H16"/>
    <mergeCell ref="J22:R22"/>
    <mergeCell ref="J21:R21"/>
    <mergeCell ref="A12:H12"/>
    <mergeCell ref="J12:R12"/>
    <mergeCell ref="A18:H18"/>
    <mergeCell ref="E6:F6"/>
    <mergeCell ref="A21:H21"/>
    <mergeCell ref="P5:R5"/>
    <mergeCell ref="J18:R18"/>
    <mergeCell ref="A10:R10"/>
    <mergeCell ref="A14:H14"/>
    <mergeCell ref="A9:R9"/>
    <mergeCell ref="J17:R17"/>
    <mergeCell ref="A22:H22"/>
    <mergeCell ref="B35:R35"/>
    <mergeCell ref="E5:F5"/>
    <mergeCell ref="A3:C3"/>
    <mergeCell ref="A37:R37"/>
    <mergeCell ref="B31:R31"/>
    <mergeCell ref="J20:R20"/>
    <mergeCell ref="J16:R16"/>
    <mergeCell ref="H6:I6"/>
    <mergeCell ref="B27:R27"/>
    <mergeCell ref="A5:C5"/>
    <mergeCell ref="J6:K6"/>
    <mergeCell ref="B29:R29"/>
    <mergeCell ref="J23:R23"/>
    <mergeCell ref="B34:R34"/>
    <mergeCell ref="B28:R28"/>
    <mergeCell ref="A23:H23"/>
    <mergeCell ref="B32:R32"/>
    <mergeCell ref="B26:R26"/>
    <mergeCell ref="A7:R7"/>
    <mergeCell ref="A15:H15"/>
    <mergeCell ref="J5:K5"/>
    <mergeCell ref="J15:R15"/>
    <mergeCell ref="A25:R25"/>
    <mergeCell ref="A17:H17"/>
    <mergeCell ref="J14:R14"/>
    <mergeCell ref="B30:R30"/>
    <mergeCell ref="A20:H20"/>
    <mergeCell ref="J19:R19"/>
    <mergeCell ref="A6:C6"/>
    <mergeCell ref="H5:I5"/>
    <mergeCell ref="A13:H13"/>
  </mergeCells>
  <hyperlinks>
    <hyperlink ref="A3" location="'Executive Dashboard'!A1"/>
    <hyperlink ref="D3" location="'Master Tracker'!A1"/>
    <hyperlink ref="F3" r:id="rId1"/>
  </hyperlinks>
  <pageMargins left="0.75" right="0.75" top="1" bottom="1" header="0.5" footer="0.5"/>
  <ignoredErrors>
    <ignoredError numberStoredAsText="1" sqref="A1:S70"/>
  </ignoredErrors>
</worksheet>
</file>

<file path=xl/worksheets/sheet5.xml><?xml version="1.0" encoding="utf-8"?>
<worksheet xmlns="http://schemas.openxmlformats.org/spreadsheetml/2006/main" xmlns:r="http://schemas.openxmlformats.org/officeDocument/2006/relationships">
  <dimension ref="A1:S63"/>
  <sheetViews>
    <sheetView workbookViewId="0" rightToLeft="0"/>
  </sheetViews>
  <sheetData>
    <row r="1">
      <c r="A1" t="str">
        <v xml:space="preserve">  PHASE 3 — EDITORIAL &amp; TAXONOMY TEMPLATES</v>
      </c>
    </row>
    <row r="2">
      <c r="A2" t="str">
        <v xml:space="preserve">  Window 18 Oct – 20 Oct 2026   ·   Status is read live from the Master Tracker (edit there)</v>
      </c>
    </row>
    <row r="3">
      <c r="A3" t="str">
        <v>← Dashboard</v>
      </c>
      <c r="D3" t="str">
        <v>Open Master Tracker →</v>
      </c>
      <c r="F3" t="str">
        <v>Staging ↗</v>
      </c>
    </row>
    <row r="5">
      <c r="A5" t="str">
        <v>COMPLETION</v>
      </c>
      <c r="D5" t="str">
        <v>PLANNED</v>
      </c>
      <c r="E5" t="str">
        <v>TASKS</v>
      </c>
      <c r="G5" t="str">
        <v>DONE</v>
      </c>
      <c r="H5" t="str">
        <v>IN PROGRESS</v>
      </c>
      <c r="J5" t="str">
        <v>BLOCKED</v>
      </c>
      <c r="L5" t="str">
        <v>OVERDUE</v>
      </c>
      <c r="M5" t="str">
        <v>IN REVIEW / TEST</v>
      </c>
      <c r="N5" t="str">
        <v>OPEN P0</v>
      </c>
      <c r="O5" t="str">
        <v>DEADLINE</v>
      </c>
      <c r="P5" t="str">
        <v>PHASE STATUS</v>
      </c>
    </row>
    <row r="6">
      <c r="A6">
        <f>IFERROR(SUMPRODUCT(('Master Tracker'!$B$6:$B$400="Phase 3")*'Master Tracker'!$U$6:$U$400)/COUNTIFS('Master Tracker'!$B$6:$B$400,"Phase 3",'Master Tracker'!$A$6:$A$400,"?*"),0)</f>
        <v>0</v>
      </c>
      <c r="D6">
        <f>IFERROR(SUMPRODUCT(('Master Tracker'!$B$6:$B$400="Phase 3")*'Master Tracker'!$V$6:$V$400)/COUNTIFS('Master Tracker'!$B$6:$B$400,"Phase 3",'Master Tracker'!$A$6:$A$400,"?*"),0)</f>
        <v>0</v>
      </c>
      <c r="E6">
        <f>COUNTIFS('Master Tracker'!$B$6:$B$400,"Phase 3",'Master Tracker'!$A$6:$A$400,"?*")</f>
        <v>16</v>
      </c>
      <c r="G6">
        <f>COUNTIFS('Master Tracker'!$B$6:$B$400,"Phase 3",'Master Tracker'!$G$6:$G$400,"Completed")</f>
        <v>0</v>
      </c>
      <c r="H6">
        <f>COUNTIFS('Master Tracker'!$B$6:$B$400,"Phase 3",'Master Tracker'!$G$6:$G$400,"In Progress")</f>
        <v>0</v>
      </c>
      <c r="J6">
        <f>COUNTIFS('Master Tracker'!$B$6:$B$400,"Phase 3",'Master Tracker'!$G$6:$G$400,"Blocked")</f>
        <v>0</v>
      </c>
      <c r="L6">
        <f>COUNTIFS('Master Tracker'!$B$6:$B$400,"Phase 3",'Master Tracker'!$X$6:$X$400,"OVERDUE")</f>
        <v>0</v>
      </c>
      <c r="M6">
        <f>COUNTIFS('Master Tracker'!$B$6:$B$400,"Phase 3",'Master Tracker'!$G$6:$G$400,"In Review")+COUNTIFS('Master Tracker'!$B$6:$B$400,"Phase 3",'Master Tracker'!$G$6:$G$400,"Testing")</f>
        <v>0</v>
      </c>
      <c r="N6">
        <f>COUNTIFS('Master Tracker'!$B$6:$B$400,"Phase 3",'Master Tracker'!$F$6:$F$400,"P0",'Master Tracker'!$G$6:$G$400,"&lt;&gt;Completed",'Master Tracker'!$A$6:$A$400,"?*")</f>
        <v>8</v>
      </c>
      <c r="O6">
        <f>MAXIFS('Master Tracker'!$I$6:$I$400,'Master Tracker'!$B$6:$B$400,"Phase 3")</f>
        <v>46315</v>
      </c>
      <c r="P6" t="str">
        <f>IF(E6=0,"—",IF(G6=E6,"Complete",IF(J6&gt;0,"Blocked",IF(L6&gt;0,"Behind",IF(A6+0.1&lt;D6,"Behind",IF(A6&gt;0,"On Track","Not Started"))))))</f>
        <v>Not Started</v>
      </c>
    </row>
    <row r="7">
      <c r="A7" t="str">
        <f>"Progress  "&amp;REPT("█",ROUND(A6*50,0))&amp;REPT("░",50-ROUND(A6*50,0))&amp;"  "&amp;TEXT(A6,"0%")&amp;"  (planned "&amp;TEXT(D6,"0%")&amp;")"</f>
        <v>Progress  ░░░░░░░░░░░░░░░░░░░░░░░░░░░░░░░░░░░░░░░░░░░░░░░░░░  0%  (planned 0%)</v>
      </c>
    </row>
    <row r="9">
      <c r="A9" t="str">
        <v xml:space="preserve">  PHASE GOAL</v>
      </c>
    </row>
    <row r="10">
      <c r="A10" t="str">
        <v>Provide production-grade article, author and taxonomy templates that render all 2,645 legacy articles correctly, support monetization (ad injection), engagement (sharing, related, progress bar) and discovery (AJAX filtering, grid/list, pagination) while remaining fully SEO-compatible.</v>
      </c>
    </row>
    <row r="12">
      <c r="A12" t="str">
        <v xml:space="preserve">  DELIVERABLES</v>
      </c>
      <c r="J12" t="str">
        <v xml:space="preserve">  REQUIRED WORDPRESS FILES</v>
      </c>
    </row>
    <row r="13">
      <c r="A13" t="str">
        <v>▸ Single article template with full metadata</v>
      </c>
      <c r="J13" t="str">
        <v>▸ single.php</v>
      </c>
    </row>
    <row r="14">
      <c r="A14" t="str">
        <v>▸ Legacy JNews content/shortcode rendering</v>
      </c>
      <c r="J14" t="str">
        <v>▸ author.php</v>
      </c>
    </row>
    <row r="15">
      <c r="A15" t="str">
        <v>▸ Reading progress bar, social sharing, related articles</v>
      </c>
      <c r="J15" t="str">
        <v>▸ category.php</v>
      </c>
    </row>
    <row r="16">
      <c r="A16" t="str">
        <v>▸ In-article advertisement injection</v>
      </c>
      <c r="J16" t="str">
        <v>▸ tag.php</v>
      </c>
    </row>
    <row r="17">
      <c r="A17" t="str">
        <v>▸ Author box and author profile template</v>
      </c>
      <c r="J17" t="str">
        <v>▸ search.php</v>
      </c>
    </row>
    <row r="18">
      <c r="A18" t="str">
        <v>▸ Category, tag and search archives</v>
      </c>
      <c r="J18" t="str">
        <v>▸ template-parts/article/*.php</v>
      </c>
    </row>
    <row r="19">
      <c r="A19" t="str">
        <v>▸ AJAX filtering, grid/list switching, pagination</v>
      </c>
      <c r="J19" t="str">
        <v>▸ inc/content-filters.php</v>
      </c>
    </row>
    <row r="20">
      <c r="A20" t="str">
        <v>▸ Print stylesheet</v>
      </c>
      <c r="J20" t="str">
        <v>▸ inc/legacy-shortcodes.php</v>
      </c>
    </row>
    <row r="21">
      <c r="A21" t="str">
        <v>▸ SEO plugin compatibility, schema &amp; breadcrumbs</v>
      </c>
      <c r="J21" t="str">
        <v>▸ inc/rest/archive-filter.php</v>
      </c>
    </row>
    <row r="22">
      <c r="J22" t="str">
        <v>▸ assets/js/modules/progress.js, share.js, filter.js</v>
      </c>
    </row>
    <row r="23">
      <c r="J23" t="str">
        <v>▸ assets/css/print.css</v>
      </c>
    </row>
    <row r="24">
      <c r="J24" t="str">
        <v>▸ inc/seo.php</v>
      </c>
    </row>
    <row r="26">
      <c r="A26" t="str">
        <v xml:space="preserve">  TECHNICAL IMPLEMENTATION STEPS</v>
      </c>
    </row>
    <row r="27">
      <c r="A27">
        <v>1</v>
      </c>
      <c r="B27" t="str">
        <v>Build single.php from components; style content blocks &amp; legacy markup</v>
      </c>
    </row>
    <row r="28">
      <c r="A28">
        <v>2</v>
      </c>
      <c r="B28" t="str">
        <v>Add shortcode fallbacks for JNews shortcodes found in audit (P6-04)</v>
      </c>
    </row>
    <row r="29">
      <c r="A29">
        <v>3</v>
      </c>
      <c r="B29" t="str">
        <v>Implement progress bar, share buttons (no third-party JS)</v>
      </c>
    </row>
    <row r="30">
      <c r="A30">
        <v>4</v>
      </c>
      <c r="B30" t="str">
        <v>Add the_content filter for ad injection by paragraph</v>
      </c>
    </row>
    <row r="31">
      <c r="A31">
        <v>5</v>
      </c>
      <c r="B31" t="str">
        <v>Build related query (category + tags, cached)</v>
      </c>
    </row>
    <row r="32">
      <c r="A32">
        <v>6</v>
      </c>
      <c r="B32" t="str">
        <v>Build author.php and category.php with featured lead</v>
      </c>
    </row>
    <row r="33">
      <c r="A33">
        <v>7</v>
      </c>
      <c r="B33" t="str">
        <v>Create REST endpoint for AJAX filtering with nonce + pushState</v>
      </c>
    </row>
    <row r="34">
      <c r="A34">
        <v>8</v>
      </c>
      <c r="B34" t="str">
        <v>Add grid/list toggle and SEO-friendly pagination</v>
      </c>
    </row>
    <row r="35">
      <c r="A35">
        <v>9</v>
      </c>
      <c r="B35" t="str">
        <v>Write print.css</v>
      </c>
    </row>
    <row r="36">
      <c r="A36">
        <v>10</v>
      </c>
      <c r="B36" t="str">
        <v>Verify SEO plugin output, NewsArticle schema, canonical, OG tags</v>
      </c>
    </row>
    <row r="38">
      <c r="A38" t="str">
        <v xml:space="preserve">  DETAILED TASK CHECKLIST   (live from Master Tracker — change Status / % there)</v>
      </c>
    </row>
    <row r="39">
      <c r="A39" t="str">
        <v>#</v>
      </c>
      <c r="B39" t="str">
        <v>Task ID</v>
      </c>
      <c r="C39" t="str">
        <v>Module</v>
      </c>
      <c r="D39" t="str">
        <v>Task</v>
      </c>
      <c r="E39" t="str">
        <v>Priority</v>
      </c>
      <c r="F39" t="str">
        <v>Status</v>
      </c>
      <c r="G39" t="str">
        <v>Start</v>
      </c>
      <c r="H39" t="str">
        <v>Due</v>
      </c>
      <c r="I39" t="str">
        <v>Complete</v>
      </c>
      <c r="J39" t="str">
        <v>Dependencies</v>
      </c>
      <c r="K39" t="str">
        <v>Dep. check</v>
      </c>
      <c r="L39" t="str">
        <v>WordPress files</v>
      </c>
      <c r="M39" t="str">
        <v>Acceptance criteria</v>
      </c>
      <c r="N39" t="str">
        <v>Testing checklist</v>
      </c>
      <c r="O39" t="str">
        <v>Test result</v>
      </c>
      <c r="P39" t="str">
        <v>Alert</v>
      </c>
    </row>
    <row r="40">
      <c r="A40">
        <v>1</v>
      </c>
      <c r="B40" t="str">
        <f>IF($S40="","",IF(INDEX('Master Tracker'!$A$6:$A$400,$S40)="","",INDEX('Master Tracker'!$A$6:$A$400,$S40)))</f>
        <v>P3-01</v>
      </c>
      <c r="C40" t="str">
        <f>IF($S40="","",IF(INDEX('Master Tracker'!$C$6:$C$400,$S40)="","",INDEX('Master Tracker'!$C$6:$C$400,$S40)))</f>
        <v>Single Article</v>
      </c>
      <c r="D40" t="str">
        <f>IF($S40="","",IF(INDEX('Master Tracker'!$D$6:$D$400,$S40)="","",INDEX('Master Tracker'!$D$6:$D$400,$S40)))</f>
        <v>Single article template</v>
      </c>
      <c r="E40" t="str">
        <f>IF($S40="","",IF(INDEX('Master Tracker'!$F$6:$F$400,$S40)="","",INDEX('Master Tracker'!$F$6:$F$400,$S40)))</f>
        <v>P0</v>
      </c>
      <c r="F40" t="str">
        <f>IF($S40="","",IF(INDEX('Master Tracker'!$G$6:$G$400,$S40)="","",INDEX('Master Tracker'!$G$6:$G$400,$S40)))</f>
        <v>Not Started</v>
      </c>
      <c r="G40">
        <f>IF($S40="","",IF(INDEX('Master Tracker'!$H$6:$H$400,$S40)="","",INDEX('Master Tracker'!$H$6:$H$400,$S40)))</f>
        <v>46313</v>
      </c>
      <c r="H40">
        <f>IF($S40="","",IF(INDEX('Master Tracker'!$I$6:$I$400,$S40)="","",INDEX('Master Tracker'!$I$6:$I$400,$S40)))</f>
        <v>46313</v>
      </c>
      <c r="I40">
        <f>IF($S40="","",IF(INDEX('Master Tracker'!$U$6:$U$400,$S40)="","",INDEX('Master Tracker'!$U$6:$U$400,$S40)))</f>
        <v>0</v>
      </c>
      <c r="J40" t="str">
        <f>IF($S40="","",IF(INDEX('Master Tracker'!$K$6:$K$400,$S40)="","",INDEX('Master Tracker'!$K$6:$K$400,$S40)))</f>
        <v>P1-17</v>
      </c>
      <c r="K40" t="str">
        <f>IF($S40="","",IF(INDEX('Master Tracker'!$Y$6:$Y$400,$S40)="","",INDEX('Master Tracker'!$Y$6:$Y$400,$S40)))</f>
        <v>⏳ 1 open</v>
      </c>
      <c r="L40" t="str">
        <f>IF($S40="","",IF(INDEX('Master Tracker'!$M$6:$M$400,$S40)="","",INDEX('Master Tracker'!$M$6:$M$400,$S40)))</f>
        <v>single.php, template-parts/article/*.php</v>
      </c>
      <c r="M40" t="str">
        <f>IF($S40="","",IF(INDEX('Master Tracker'!$O$6:$O$400,$S40)="","",INDEX('Master Tracker'!$O$6:$O$400,$S40)))</f>
        <v>Articles render correctly with full layout on all breakpoints</v>
      </c>
      <c r="N40" t="str">
        <f>IF($S40="","",IF(INDEX('Master Tracker'!$N$6:$N$400,$S40)="","",INDEX('Master Tracker'!$N$6:$N$400,$S40)))</f>
        <v>Open 20 sample articles across years and categories</v>
      </c>
      <c r="O40" t="str">
        <f>IF($S40="","",IF(INDEX('Master Tracker'!$T$6:$T$400,$S40)="","",INDEX('Master Tracker'!$T$6:$T$400,$S40)))</f>
        <v>Not Tested</v>
      </c>
      <c r="P40" t="str">
        <f>IF($S40="","",IF(INDEX('Master Tracker'!$AC$6:$AC$400,$S40)="","",INDEX('Master Tracker'!$AC$6:$AC$400,$S40)))</f>
        <v>On track</v>
      </c>
      <c r="S40">
        <f>IFERROR(MATCH("Phase 3|"&amp;A40,'Master Tracker'!$Z$6:$Z$400,0),"")</f>
        <v>42</v>
      </c>
    </row>
    <row r="41">
      <c r="A41">
        <v>2</v>
      </c>
      <c r="B41" t="str">
        <f>IF($S41="","",IF(INDEX('Master Tracker'!$A$6:$A$400,$S41)="","",INDEX('Master Tracker'!$A$6:$A$400,$S41)))</f>
        <v>P3-02</v>
      </c>
      <c r="C41" t="str">
        <f>IF($S41="","",IF(INDEX('Master Tracker'!$C$6:$C$400,$S41)="","",INDEX('Master Tracker'!$C$6:$C$400,$S41)))</f>
        <v>Article Metadata</v>
      </c>
      <c r="D41" t="str">
        <f>IF($S41="","",IF(INDEX('Master Tracker'!$D$6:$D$400,$S41)="","",INDEX('Master Tracker'!$D$6:$D$400,$S41)))</f>
        <v>Article metadata</v>
      </c>
      <c r="E41" t="str">
        <f>IF($S41="","",IF(INDEX('Master Tracker'!$F$6:$F$400,$S41)="","",INDEX('Master Tracker'!$F$6:$F$400,$S41)))</f>
        <v>P0</v>
      </c>
      <c r="F41" t="str">
        <f>IF($S41="","",IF(INDEX('Master Tracker'!$G$6:$G$400,$S41)="","",INDEX('Master Tracker'!$G$6:$G$400,$S41)))</f>
        <v>Not Started</v>
      </c>
      <c r="G41">
        <f>IF($S41="","",IF(INDEX('Master Tracker'!$H$6:$H$400,$S41)="","",INDEX('Master Tracker'!$H$6:$H$400,$S41)))</f>
        <v>46313</v>
      </c>
      <c r="H41">
        <f>IF($S41="","",IF(INDEX('Master Tracker'!$I$6:$I$400,$S41)="","",INDEX('Master Tracker'!$I$6:$I$400,$S41)))</f>
        <v>46313</v>
      </c>
      <c r="I41">
        <f>IF($S41="","",IF(INDEX('Master Tracker'!$U$6:$U$400,$S41)="","",INDEX('Master Tracker'!$U$6:$U$400,$S41)))</f>
        <v>0</v>
      </c>
      <c r="J41" t="str">
        <f>IF($S41="","",IF(INDEX('Master Tracker'!$K$6:$K$400,$S41)="","",INDEX('Master Tracker'!$K$6:$K$400,$S41)))</f>
        <v>P3-01, P1-15</v>
      </c>
      <c r="K41" t="str">
        <f>IF($S41="","",IF(INDEX('Master Tracker'!$Y$6:$Y$400,$S41)="","",INDEX('Master Tracker'!$Y$6:$Y$400,$S41)))</f>
        <v>⏳ 2 open</v>
      </c>
      <c r="L41" t="str">
        <f>IF($S41="","",IF(INDEX('Master Tracker'!$M$6:$M$400,$S41)="","",INDEX('Master Tracker'!$M$6:$M$400,$S41)))</f>
        <v>template-parts/article/meta.php</v>
      </c>
      <c r="M41" t="str">
        <f>IF($S41="","",IF(INDEX('Master Tracker'!$O$6:$O$400,$S41)="","",INDEX('Master Tracker'!$O$6:$O$400,$S41)))</f>
        <v>Metadata accurate and localized</v>
      </c>
      <c r="N41" t="str">
        <f>IF($S41="","",IF(INDEX('Master Tracker'!$N$6:$N$400,$S41)="","",INDEX('Master Tracker'!$N$6:$N$400,$S41)))</f>
        <v>Compare metadata with WP admin values for 10 posts</v>
      </c>
      <c r="O41" t="str">
        <f>IF($S41="","",IF(INDEX('Master Tracker'!$T$6:$T$400,$S41)="","",INDEX('Master Tracker'!$T$6:$T$400,$S41)))</f>
        <v>Not Tested</v>
      </c>
      <c r="P41" t="str">
        <f>IF($S41="","",IF(INDEX('Master Tracker'!$AC$6:$AC$400,$S41)="","",INDEX('Master Tracker'!$AC$6:$AC$400,$S41)))</f>
        <v>On track</v>
      </c>
      <c r="S41">
        <f>IFERROR(MATCH("Phase 3|"&amp;A41,'Master Tracker'!$Z$6:$Z$400,0),"")</f>
        <v>43</v>
      </c>
    </row>
    <row r="42">
      <c r="A42">
        <v>3</v>
      </c>
      <c r="B42" t="str">
        <f>IF($S42="","",IF(INDEX('Master Tracker'!$A$6:$A$400,$S42)="","",INDEX('Master Tracker'!$A$6:$A$400,$S42)))</f>
        <v>P3-03</v>
      </c>
      <c r="C42" t="str">
        <f>IF($S42="","",IF(INDEX('Master Tracker'!$C$6:$C$400,$S42)="","",INDEX('Master Tracker'!$C$6:$C$400,$S42)))</f>
        <v>Legacy Content</v>
      </c>
      <c r="D42" t="str">
        <f>IF($S42="","",IF(INDEX('Master Tracker'!$D$6:$D$400,$S42)="","",INDEX('Master Tracker'!$D$6:$D$400,$S42)))</f>
        <v>Legacy JNews content &amp; shortcode rendering</v>
      </c>
      <c r="E42" t="str">
        <f>IF($S42="","",IF(INDEX('Master Tracker'!$F$6:$F$400,$S42)="","",INDEX('Master Tracker'!$F$6:$F$400,$S42)))</f>
        <v>P0</v>
      </c>
      <c r="F42" t="str">
        <f>IF($S42="","",IF(INDEX('Master Tracker'!$G$6:$G$400,$S42)="","",INDEX('Master Tracker'!$G$6:$G$400,$S42)))</f>
        <v>Not Started</v>
      </c>
      <c r="G42">
        <f>IF($S42="","",IF(INDEX('Master Tracker'!$H$6:$H$400,$S42)="","",INDEX('Master Tracker'!$H$6:$H$400,$S42)))</f>
        <v>46313</v>
      </c>
      <c r="H42">
        <f>IF($S42="","",IF(INDEX('Master Tracker'!$I$6:$I$400,$S42)="","",INDEX('Master Tracker'!$I$6:$I$400,$S42)))</f>
        <v>46313</v>
      </c>
      <c r="I42">
        <f>IF($S42="","",IF(INDEX('Master Tracker'!$U$6:$U$400,$S42)="","",INDEX('Master Tracker'!$U$6:$U$400,$S42)))</f>
        <v>0</v>
      </c>
      <c r="J42" t="str">
        <f>IF($S42="","",IF(INDEX('Master Tracker'!$K$6:$K$400,$S42)="","",INDEX('Master Tracker'!$K$6:$K$400,$S42)))</f>
        <v>P3-01, P6-04</v>
      </c>
      <c r="K42" t="str">
        <f>IF($S42="","",IF(INDEX('Master Tracker'!$Y$6:$Y$400,$S42)="","",INDEX('Master Tracker'!$Y$6:$Y$400,$S42)))</f>
        <v>⏳ 2 open</v>
      </c>
      <c r="L42" t="str">
        <f>IF($S42="","",IF(INDEX('Master Tracker'!$M$6:$M$400,$S42)="","",INDEX('Master Tracker'!$M$6:$M$400,$S42)))</f>
        <v>inc/legacy-shortcodes.php, assets/css/content.css</v>
      </c>
      <c r="M42" t="str">
        <f>IF($S42="","",IF(INDEX('Master Tracker'!$O$6:$O$400,$S42)="","",INDEX('Master Tracker'!$O$6:$O$400,$S42)))</f>
        <v>No raw shortcodes or broken legacy markup in any of the 2,645 articles</v>
      </c>
      <c r="N42" t="str">
        <f>IF($S42="","",IF(INDEX('Master Tracker'!$N$6:$N$400,$S42)="","",INDEX('Master Tracker'!$N$6:$N$400,$S42)))</f>
        <v>Open posts flagged in P6-04 audit; no raw [shortcodes] visible</v>
      </c>
      <c r="O42" t="str">
        <f>IF($S42="","",IF(INDEX('Master Tracker'!$T$6:$T$400,$S42)="","",INDEX('Master Tracker'!$T$6:$T$400,$S42)))</f>
        <v>Not Tested</v>
      </c>
      <c r="P42" t="str">
        <f>IF($S42="","",IF(INDEX('Master Tracker'!$AC$6:$AC$400,$S42)="","",INDEX('Master Tracker'!$AC$6:$AC$400,$S42)))</f>
        <v>On track</v>
      </c>
      <c r="S42">
        <f>IFERROR(MATCH("Phase 3|"&amp;A42,'Master Tracker'!$Z$6:$Z$400,0),"")</f>
        <v>44</v>
      </c>
    </row>
    <row r="43">
      <c r="A43">
        <v>4</v>
      </c>
      <c r="B43" t="str">
        <f>IF($S43="","",IF(INDEX('Master Tracker'!$A$6:$A$400,$S43)="","",INDEX('Master Tracker'!$A$6:$A$400,$S43)))</f>
        <v>P3-04</v>
      </c>
      <c r="C43" t="str">
        <f>IF($S43="","",IF(INDEX('Master Tracker'!$C$6:$C$400,$S43)="","",INDEX('Master Tracker'!$C$6:$C$400,$S43)))</f>
        <v>Engagement</v>
      </c>
      <c r="D43" t="str">
        <f>IF($S43="","",IF(INDEX('Master Tracker'!$D$6:$D$400,$S43)="","",INDEX('Master Tracker'!$D$6:$D$400,$S43)))</f>
        <v>Reading progress bar</v>
      </c>
      <c r="E43" t="str">
        <f>IF($S43="","",IF(INDEX('Master Tracker'!$F$6:$F$400,$S43)="","",INDEX('Master Tracker'!$F$6:$F$400,$S43)))</f>
        <v>P1</v>
      </c>
      <c r="F43" t="str">
        <f>IF($S43="","",IF(INDEX('Master Tracker'!$G$6:$G$400,$S43)="","",INDEX('Master Tracker'!$G$6:$G$400,$S43)))</f>
        <v>Not Started</v>
      </c>
      <c r="G43">
        <f>IF($S43="","",IF(INDEX('Master Tracker'!$H$6:$H$400,$S43)="","",INDEX('Master Tracker'!$H$6:$H$400,$S43)))</f>
        <v>46313</v>
      </c>
      <c r="H43">
        <f>IF($S43="","",IF(INDEX('Master Tracker'!$I$6:$I$400,$S43)="","",INDEX('Master Tracker'!$I$6:$I$400,$S43)))</f>
        <v>46313</v>
      </c>
      <c r="I43">
        <f>IF($S43="","",IF(INDEX('Master Tracker'!$U$6:$U$400,$S43)="","",INDEX('Master Tracker'!$U$6:$U$400,$S43)))</f>
        <v>0</v>
      </c>
      <c r="J43" t="str">
        <f>IF($S43="","",IF(INDEX('Master Tracker'!$K$6:$K$400,$S43)="","",INDEX('Master Tracker'!$K$6:$K$400,$S43)))</f>
        <v>P3-01</v>
      </c>
      <c r="K43" t="str">
        <f>IF($S43="","",IF(INDEX('Master Tracker'!$Y$6:$Y$400,$S43)="","",INDEX('Master Tracker'!$Y$6:$Y$400,$S43)))</f>
        <v>⏳ 1 open</v>
      </c>
      <c r="L43" t="str">
        <f>IF($S43="","",IF(INDEX('Master Tracker'!$M$6:$M$400,$S43)="","",INDEX('Master Tracker'!$M$6:$M$400,$S43)))</f>
        <v>assets/js/modules/progress.js</v>
      </c>
      <c r="M43" t="str">
        <f>IF($S43="","",IF(INDEX('Master Tracker'!$O$6:$O$400,$S43)="","",INDEX('Master Tracker'!$O$6:$O$400,$S43)))</f>
        <v>Progress bar accurate, smooth, RTL</v>
      </c>
      <c r="N43" t="str">
        <f>IF($S43="","",IF(INDEX('Master Tracker'!$N$6:$N$400,$S43)="","",INDEX('Master Tracker'!$N$6:$N$400,$S43)))</f>
        <v>Scroll long article; check direction and smoothness on mobile</v>
      </c>
      <c r="O43" t="str">
        <f>IF($S43="","",IF(INDEX('Master Tracker'!$T$6:$T$400,$S43)="","",INDEX('Master Tracker'!$T$6:$T$400,$S43)))</f>
        <v>Not Tested</v>
      </c>
      <c r="P43" t="str">
        <f>IF($S43="","",IF(INDEX('Master Tracker'!$AC$6:$AC$400,$S43)="","",INDEX('Master Tracker'!$AC$6:$AC$400,$S43)))</f>
        <v>On track</v>
      </c>
      <c r="S43">
        <f>IFERROR(MATCH("Phase 3|"&amp;A43,'Master Tracker'!$Z$6:$Z$400,0),"")</f>
        <v>45</v>
      </c>
    </row>
    <row r="44">
      <c r="A44">
        <v>5</v>
      </c>
      <c r="B44" t="str">
        <f>IF($S44="","",IF(INDEX('Master Tracker'!$A$6:$A$400,$S44)="","",INDEX('Master Tracker'!$A$6:$A$400,$S44)))</f>
        <v>P3-05</v>
      </c>
      <c r="C44" t="str">
        <f>IF($S44="","",IF(INDEX('Master Tracker'!$C$6:$C$400,$S44)="","",INDEX('Master Tracker'!$C$6:$C$400,$S44)))</f>
        <v>Engagement</v>
      </c>
      <c r="D44" t="str">
        <f>IF($S44="","",IF(INDEX('Master Tracker'!$D$6:$D$400,$S44)="","",INDEX('Master Tracker'!$D$6:$D$400,$S44)))</f>
        <v>Social sharing</v>
      </c>
      <c r="E44" t="str">
        <f>IF($S44="","",IF(INDEX('Master Tracker'!$F$6:$F$400,$S44)="","",INDEX('Master Tracker'!$F$6:$F$400,$S44)))</f>
        <v>P1</v>
      </c>
      <c r="F44" t="str">
        <f>IF($S44="","",IF(INDEX('Master Tracker'!$G$6:$G$400,$S44)="","",INDEX('Master Tracker'!$G$6:$G$400,$S44)))</f>
        <v>Not Started</v>
      </c>
      <c r="G44">
        <f>IF($S44="","",IF(INDEX('Master Tracker'!$H$6:$H$400,$S44)="","",INDEX('Master Tracker'!$H$6:$H$400,$S44)))</f>
        <v>46313</v>
      </c>
      <c r="H44">
        <f>IF($S44="","",IF(INDEX('Master Tracker'!$I$6:$I$400,$S44)="","",INDEX('Master Tracker'!$I$6:$I$400,$S44)))</f>
        <v>46313</v>
      </c>
      <c r="I44">
        <f>IF($S44="","",IF(INDEX('Master Tracker'!$U$6:$U$400,$S44)="","",INDEX('Master Tracker'!$U$6:$U$400,$S44)))</f>
        <v>0</v>
      </c>
      <c r="J44" t="str">
        <f>IF($S44="","",IF(INDEX('Master Tracker'!$K$6:$K$400,$S44)="","",INDEX('Master Tracker'!$K$6:$K$400,$S44)))</f>
        <v>P3-01</v>
      </c>
      <c r="K44" t="str">
        <f>IF($S44="","",IF(INDEX('Master Tracker'!$Y$6:$Y$400,$S44)="","",INDEX('Master Tracker'!$Y$6:$Y$400,$S44)))</f>
        <v>⏳ 1 open</v>
      </c>
      <c r="L44" t="str">
        <f>IF($S44="","",IF(INDEX('Master Tracker'!$M$6:$M$400,$S44)="","",INDEX('Master Tracker'!$M$6:$M$400,$S44)))</f>
        <v>template-parts/article/share.php, assets/js/modules/share.js</v>
      </c>
      <c r="M44" t="str">
        <f>IF($S44="","",IF(INDEX('Master Tracker'!$O$6:$O$400,$S44)="","",INDEX('Master Tracker'!$O$6:$O$400,$S44)))</f>
        <v>All share targets open with correct title and URL</v>
      </c>
      <c r="N44" t="str">
        <f>IF($S44="","",IF(INDEX('Master Tracker'!$N$6:$N$400,$S44)="","",INDEX('Master Tracker'!$N$6:$N$400,$S44)))</f>
        <v>Share each network; check URL encoding of Arabic titles</v>
      </c>
      <c r="O44" t="str">
        <f>IF($S44="","",IF(INDEX('Master Tracker'!$T$6:$T$400,$S44)="","",INDEX('Master Tracker'!$T$6:$T$400,$S44)))</f>
        <v>Not Tested</v>
      </c>
      <c r="P44" t="str">
        <f>IF($S44="","",IF(INDEX('Master Tracker'!$AC$6:$AC$400,$S44)="","",INDEX('Master Tracker'!$AC$6:$AC$400,$S44)))</f>
        <v>On track</v>
      </c>
      <c r="S44">
        <f>IFERROR(MATCH("Phase 3|"&amp;A44,'Master Tracker'!$Z$6:$Z$400,0),"")</f>
        <v>46</v>
      </c>
    </row>
    <row r="45">
      <c r="A45">
        <v>6</v>
      </c>
      <c r="B45" t="str">
        <f>IF($S45="","",IF(INDEX('Master Tracker'!$A$6:$A$400,$S45)="","",INDEX('Master Tracker'!$A$6:$A$400,$S45)))</f>
        <v>P3-06</v>
      </c>
      <c r="C45" t="str">
        <f>IF($S45="","",IF(INDEX('Master Tracker'!$C$6:$C$400,$S45)="","",INDEX('Master Tracker'!$C$6:$C$400,$S45)))</f>
        <v>AdOps</v>
      </c>
      <c r="D45" t="str">
        <f>IF($S45="","",IF(INDEX('Master Tracker'!$D$6:$D$400,$S45)="","",INDEX('Master Tracker'!$D$6:$D$400,$S45)))</f>
        <v>In-article advertisement injection</v>
      </c>
      <c r="E45" t="str">
        <f>IF($S45="","",IF(INDEX('Master Tracker'!$F$6:$F$400,$S45)="","",INDEX('Master Tracker'!$F$6:$F$400,$S45)))</f>
        <v>P1</v>
      </c>
      <c r="F45" t="str">
        <f>IF($S45="","",IF(INDEX('Master Tracker'!$G$6:$G$400,$S45)="","",INDEX('Master Tracker'!$G$6:$G$400,$S45)))</f>
        <v>Not Started</v>
      </c>
      <c r="G45">
        <f>IF($S45="","",IF(INDEX('Master Tracker'!$H$6:$H$400,$S45)="","",INDEX('Master Tracker'!$H$6:$H$400,$S45)))</f>
        <v>46313</v>
      </c>
      <c r="H45">
        <f>IF($S45="","",IF(INDEX('Master Tracker'!$I$6:$I$400,$S45)="","",INDEX('Master Tracker'!$I$6:$I$400,$S45)))</f>
        <v>46314</v>
      </c>
      <c r="I45">
        <f>IF($S45="","",IF(INDEX('Master Tracker'!$U$6:$U$400,$S45)="","",INDEX('Master Tracker'!$U$6:$U$400,$S45)))</f>
        <v>0</v>
      </c>
      <c r="J45" t="str">
        <f>IF($S45="","",IF(INDEX('Master Tracker'!$K$6:$K$400,$S45)="","",INDEX('Master Tracker'!$K$6:$K$400,$S45)))</f>
        <v>P3-01, P2-23</v>
      </c>
      <c r="K45" t="str">
        <f>IF($S45="","",IF(INDEX('Master Tracker'!$Y$6:$Y$400,$S45)="","",INDEX('Master Tracker'!$Y$6:$Y$400,$S45)))</f>
        <v>⏳ 2 open</v>
      </c>
      <c r="L45" t="str">
        <f>IF($S45="","",IF(INDEX('Master Tracker'!$M$6:$M$400,$S45)="","",INDEX('Master Tracker'!$M$6:$M$400,$S45)))</f>
        <v>inc/content-filters.php</v>
      </c>
      <c r="M45" t="str">
        <f>IF($S45="","",IF(INDEX('Master Tracker'!$O$6:$O$400,$S45)="","",INDEX('Master Tracker'!$O$6:$O$400,$S45)))</f>
        <v>Ads appear at configured positions without breaking content</v>
      </c>
      <c r="N45" t="str">
        <f>IF($S45="","",IF(INDEX('Master Tracker'!$N$6:$N$400,$S45)="","",INDEX('Master Tracker'!$N$6:$N$400,$S45)))</f>
        <v>Test short, long and embed-heavy articles</v>
      </c>
      <c r="O45" t="str">
        <f>IF($S45="","",IF(INDEX('Master Tracker'!$T$6:$T$400,$S45)="","",INDEX('Master Tracker'!$T$6:$T$400,$S45)))</f>
        <v>Not Tested</v>
      </c>
      <c r="P45" t="str">
        <f>IF($S45="","",IF(INDEX('Master Tracker'!$AC$6:$AC$400,$S45)="","",INDEX('Master Tracker'!$AC$6:$AC$400,$S45)))</f>
        <v>On track</v>
      </c>
      <c r="S45">
        <f>IFERROR(MATCH("Phase 3|"&amp;A45,'Master Tracker'!$Z$6:$Z$400,0),"")</f>
        <v>47</v>
      </c>
    </row>
    <row r="46">
      <c r="A46">
        <v>7</v>
      </c>
      <c r="B46" t="str">
        <f>IF($S46="","",IF(INDEX('Master Tracker'!$A$6:$A$400,$S46)="","",INDEX('Master Tracker'!$A$6:$A$400,$S46)))</f>
        <v>P3-07</v>
      </c>
      <c r="C46" t="str">
        <f>IF($S46="","",IF(INDEX('Master Tracker'!$C$6:$C$400,$S46)="","",INDEX('Master Tracker'!$C$6:$C$400,$S46)))</f>
        <v>Engagement</v>
      </c>
      <c r="D46" t="str">
        <f>IF($S46="","",IF(INDEX('Master Tracker'!$D$6:$D$400,$S46)="","",INDEX('Master Tracker'!$D$6:$D$400,$S46)))</f>
        <v>Related articles</v>
      </c>
      <c r="E46" t="str">
        <f>IF($S46="","",IF(INDEX('Master Tracker'!$F$6:$F$400,$S46)="","",INDEX('Master Tracker'!$F$6:$F$400,$S46)))</f>
        <v>P1</v>
      </c>
      <c r="F46" t="str">
        <f>IF($S46="","",IF(INDEX('Master Tracker'!$G$6:$G$400,$S46)="","",INDEX('Master Tracker'!$G$6:$G$400,$S46)))</f>
        <v>Not Started</v>
      </c>
      <c r="G46">
        <f>IF($S46="","",IF(INDEX('Master Tracker'!$H$6:$H$400,$S46)="","",INDEX('Master Tracker'!$H$6:$H$400,$S46)))</f>
        <v>46314</v>
      </c>
      <c r="H46">
        <f>IF($S46="","",IF(INDEX('Master Tracker'!$I$6:$I$400,$S46)="","",INDEX('Master Tracker'!$I$6:$I$400,$S46)))</f>
        <v>46314</v>
      </c>
      <c r="I46">
        <f>IF($S46="","",IF(INDEX('Master Tracker'!$U$6:$U$400,$S46)="","",INDEX('Master Tracker'!$U$6:$U$400,$S46)))</f>
        <v>0</v>
      </c>
      <c r="J46" t="str">
        <f>IF($S46="","",IF(INDEX('Master Tracker'!$K$6:$K$400,$S46)="","",INDEX('Master Tracker'!$K$6:$K$400,$S46)))</f>
        <v>P3-01, P1-14</v>
      </c>
      <c r="K46" t="str">
        <f>IF($S46="","",IF(INDEX('Master Tracker'!$Y$6:$Y$400,$S46)="","",INDEX('Master Tracker'!$Y$6:$Y$400,$S46)))</f>
        <v>⏳ 2 open</v>
      </c>
      <c r="L46" t="str">
        <f>IF($S46="","",IF(INDEX('Master Tracker'!$M$6:$M$400,$S46)="","",INDEX('Master Tracker'!$M$6:$M$400,$S46)))</f>
        <v>template-parts/article/related.php</v>
      </c>
      <c r="M46" t="str">
        <f>IF($S46="","",IF(INDEX('Master Tracker'!$O$6:$O$400,$S46)="","",INDEX('Master Tracker'!$O$6:$O$400,$S46)))</f>
        <v>Related list relevant and cached</v>
      </c>
      <c r="N46" t="str">
        <f>IF($S46="","",IF(INDEX('Master Tracker'!$N$6:$N$400,$S46)="","",INDEX('Master Tracker'!$N$6:$N$400,$S46)))</f>
        <v>Check relevance on 5 posts; check cache</v>
      </c>
      <c r="O46" t="str">
        <f>IF($S46="","",IF(INDEX('Master Tracker'!$T$6:$T$400,$S46)="","",INDEX('Master Tracker'!$T$6:$T$400,$S46)))</f>
        <v>Not Tested</v>
      </c>
      <c r="P46" t="str">
        <f>IF($S46="","",IF(INDEX('Master Tracker'!$AC$6:$AC$400,$S46)="","",INDEX('Master Tracker'!$AC$6:$AC$400,$S46)))</f>
        <v>On track</v>
      </c>
      <c r="S46">
        <f>IFERROR(MATCH("Phase 3|"&amp;A46,'Master Tracker'!$Z$6:$Z$400,0),"")</f>
        <v>48</v>
      </c>
    </row>
    <row r="47">
      <c r="A47">
        <v>8</v>
      </c>
      <c r="B47" t="str">
        <f>IF($S47="","",IF(INDEX('Master Tracker'!$A$6:$A$400,$S47)="","",INDEX('Master Tracker'!$A$6:$A$400,$S47)))</f>
        <v>P3-08</v>
      </c>
      <c r="C47" t="str">
        <f>IF($S47="","",IF(INDEX('Master Tracker'!$C$6:$C$400,$S47)="","",INDEX('Master Tracker'!$C$6:$C$400,$S47)))</f>
        <v>Author Profiles</v>
      </c>
      <c r="D47" t="str">
        <f>IF($S47="","",IF(INDEX('Master Tracker'!$D$6:$D$400,$S47)="","",INDEX('Master Tracker'!$D$6:$D$400,$S47)))</f>
        <v>Author box &amp; author profile template</v>
      </c>
      <c r="E47" t="str">
        <f>IF($S47="","",IF(INDEX('Master Tracker'!$F$6:$F$400,$S47)="","",INDEX('Master Tracker'!$F$6:$F$400,$S47)))</f>
        <v>P0</v>
      </c>
      <c r="F47" t="str">
        <f>IF($S47="","",IF(INDEX('Master Tracker'!$G$6:$G$400,$S47)="","",INDEX('Master Tracker'!$G$6:$G$400,$S47)))</f>
        <v>Not Started</v>
      </c>
      <c r="G47">
        <f>IF($S47="","",IF(INDEX('Master Tracker'!$H$6:$H$400,$S47)="","",INDEX('Master Tracker'!$H$6:$H$400,$S47)))</f>
        <v>46314</v>
      </c>
      <c r="H47">
        <f>IF($S47="","",IF(INDEX('Master Tracker'!$I$6:$I$400,$S47)="","",INDEX('Master Tracker'!$I$6:$I$400,$S47)))</f>
        <v>46314</v>
      </c>
      <c r="I47">
        <f>IF($S47="","",IF(INDEX('Master Tracker'!$U$6:$U$400,$S47)="","",INDEX('Master Tracker'!$U$6:$U$400,$S47)))</f>
        <v>0</v>
      </c>
      <c r="J47" t="str">
        <f>IF($S47="","",IF(INDEX('Master Tracker'!$K$6:$K$400,$S47)="","",INDEX('Master Tracker'!$K$6:$K$400,$S47)))</f>
        <v>P1-06</v>
      </c>
      <c r="K47" t="str">
        <f>IF($S47="","",IF(INDEX('Master Tracker'!$Y$6:$Y$400,$S47)="","",INDEX('Master Tracker'!$Y$6:$Y$400,$S47)))</f>
        <v>⏳ 1 open</v>
      </c>
      <c r="L47" t="str">
        <f>IF($S47="","",IF(INDEX('Master Tracker'!$M$6:$M$400,$S47)="","",INDEX('Master Tracker'!$M$6:$M$400,$S47)))</f>
        <v>author.php, template-parts/article/author-box.php</v>
      </c>
      <c r="M47" t="str">
        <f>IF($S47="","",IF(INDEX('Master Tracker'!$O$6:$O$400,$S47)="","",INDEX('Master Tracker'!$O$6:$O$400,$S47)))</f>
        <v>Every author has a working profile page</v>
      </c>
      <c r="N47" t="str">
        <f>IF($S47="","",IF(INDEX('Master Tracker'!$N$6:$N$400,$S47)="","",INDEX('Master Tracker'!$N$6:$N$400,$S47)))</f>
        <v>Open 5 author pages incl. one with no bio/avatar</v>
      </c>
      <c r="O47" t="str">
        <f>IF($S47="","",IF(INDEX('Master Tracker'!$T$6:$T$400,$S47)="","",INDEX('Master Tracker'!$T$6:$T$400,$S47)))</f>
        <v>Not Tested</v>
      </c>
      <c r="P47" t="str">
        <f>IF($S47="","",IF(INDEX('Master Tracker'!$AC$6:$AC$400,$S47)="","",INDEX('Master Tracker'!$AC$6:$AC$400,$S47)))</f>
        <v>On track</v>
      </c>
      <c r="S47">
        <f>IFERROR(MATCH("Phase 3|"&amp;A47,'Master Tracker'!$Z$6:$Z$400,0),"")</f>
        <v>49</v>
      </c>
    </row>
    <row r="48">
      <c r="A48">
        <v>9</v>
      </c>
      <c r="B48" t="str">
        <f>IF($S48="","",IF(INDEX('Master Tracker'!$A$6:$A$400,$S48)="","",INDEX('Master Tracker'!$A$6:$A$400,$S48)))</f>
        <v>P3-09</v>
      </c>
      <c r="C48" t="str">
        <f>IF($S48="","",IF(INDEX('Master Tracker'!$C$6:$C$400,$S48)="","",INDEX('Master Tracker'!$C$6:$C$400,$S48)))</f>
        <v>Category Archives</v>
      </c>
      <c r="D48" t="str">
        <f>IF($S48="","",IF(INDEX('Master Tracker'!$D$6:$D$400,$S48)="","",INDEX('Master Tracker'!$D$6:$D$400,$S48)))</f>
        <v>Category archive template</v>
      </c>
      <c r="E48" t="str">
        <f>IF($S48="","",IF(INDEX('Master Tracker'!$F$6:$F$400,$S48)="","",INDEX('Master Tracker'!$F$6:$F$400,$S48)))</f>
        <v>P0</v>
      </c>
      <c r="F48" t="str">
        <f>IF($S48="","",IF(INDEX('Master Tracker'!$G$6:$G$400,$S48)="","",INDEX('Master Tracker'!$G$6:$G$400,$S48)))</f>
        <v>Not Started</v>
      </c>
      <c r="G48">
        <f>IF($S48="","",IF(INDEX('Master Tracker'!$H$6:$H$400,$S48)="","",INDEX('Master Tracker'!$H$6:$H$400,$S48)))</f>
        <v>46314</v>
      </c>
      <c r="H48">
        <f>IF($S48="","",IF(INDEX('Master Tracker'!$I$6:$I$400,$S48)="","",INDEX('Master Tracker'!$I$6:$I$400,$S48)))</f>
        <v>46314</v>
      </c>
      <c r="I48">
        <f>IF($S48="","",IF(INDEX('Master Tracker'!$U$6:$U$400,$S48)="","",INDEX('Master Tracker'!$U$6:$U$400,$S48)))</f>
        <v>0</v>
      </c>
      <c r="J48" t="str">
        <f>IF($S48="","",IF(INDEX('Master Tracker'!$K$6:$K$400,$S48)="","",INDEX('Master Tracker'!$K$6:$K$400,$S48)))</f>
        <v>P1-06</v>
      </c>
      <c r="K48" t="str">
        <f>IF($S48="","",IF(INDEX('Master Tracker'!$Y$6:$Y$400,$S48)="","",INDEX('Master Tracker'!$Y$6:$Y$400,$S48)))</f>
        <v>⏳ 1 open</v>
      </c>
      <c r="L48" t="str">
        <f>IF($S48="","",IF(INDEX('Master Tracker'!$M$6:$M$400,$S48)="","",INDEX('Master Tracker'!$M$6:$M$400,$S48)))</f>
        <v>category.php, archive.php</v>
      </c>
      <c r="M48" t="str">
        <f>IF($S48="","",IF(INDEX('Master Tracker'!$O$6:$O$400,$S48)="","",INDEX('Master Tracker'!$O$6:$O$400,$S48)))</f>
        <v>All categories render with correct posts and SEO-friendly URLs</v>
      </c>
      <c r="N48" t="str">
        <f>IF($S48="","",IF(INDEX('Master Tracker'!$N$6:$N$400,$S48)="","",INDEX('Master Tracker'!$N$6:$N$400,$S48)))</f>
        <v>Check every top-level category and 3 subcategories</v>
      </c>
      <c r="O48" t="str">
        <f>IF($S48="","",IF(INDEX('Master Tracker'!$T$6:$T$400,$S48)="","",INDEX('Master Tracker'!$T$6:$T$400,$S48)))</f>
        <v>Not Tested</v>
      </c>
      <c r="P48" t="str">
        <f>IF($S48="","",IF(INDEX('Master Tracker'!$AC$6:$AC$400,$S48)="","",INDEX('Master Tracker'!$AC$6:$AC$400,$S48)))</f>
        <v>On track</v>
      </c>
      <c r="S48">
        <f>IFERROR(MATCH("Phase 3|"&amp;A48,'Master Tracker'!$Z$6:$Z$400,0),"")</f>
        <v>50</v>
      </c>
    </row>
    <row r="49">
      <c r="A49">
        <v>10</v>
      </c>
      <c r="B49" t="str">
        <f>IF($S49="","",IF(INDEX('Master Tracker'!$A$6:$A$400,$S49)="","",INDEX('Master Tracker'!$A$6:$A$400,$S49)))</f>
        <v>P3-10</v>
      </c>
      <c r="C49" t="str">
        <f>IF($S49="","",IF(INDEX('Master Tracker'!$C$6:$C$400,$S49)="","",INDEX('Master Tracker'!$C$6:$C$400,$S49)))</f>
        <v>Taxonomy</v>
      </c>
      <c r="D49" t="str">
        <f>IF($S49="","",IF(INDEX('Master Tracker'!$D$6:$D$400,$S49)="","",INDEX('Master Tracker'!$D$6:$D$400,$S49)))</f>
        <v>Tag archive, search results &amp; 404</v>
      </c>
      <c r="E49" t="str">
        <f>IF($S49="","",IF(INDEX('Master Tracker'!$F$6:$F$400,$S49)="","",INDEX('Master Tracker'!$F$6:$F$400,$S49)))</f>
        <v>P1</v>
      </c>
      <c r="F49" t="str">
        <f>IF($S49="","",IF(INDEX('Master Tracker'!$G$6:$G$400,$S49)="","",INDEX('Master Tracker'!$G$6:$G$400,$S49)))</f>
        <v>Not Started</v>
      </c>
      <c r="G49">
        <f>IF($S49="","",IF(INDEX('Master Tracker'!$H$6:$H$400,$S49)="","",INDEX('Master Tracker'!$H$6:$H$400,$S49)))</f>
        <v>46314</v>
      </c>
      <c r="H49">
        <f>IF($S49="","",IF(INDEX('Master Tracker'!$I$6:$I$400,$S49)="","",INDEX('Master Tracker'!$I$6:$I$400,$S49)))</f>
        <v>46314</v>
      </c>
      <c r="I49">
        <f>IF($S49="","",IF(INDEX('Master Tracker'!$U$6:$U$400,$S49)="","",INDEX('Master Tracker'!$U$6:$U$400,$S49)))</f>
        <v>0</v>
      </c>
      <c r="J49" t="str">
        <f>IF($S49="","",IF(INDEX('Master Tracker'!$K$6:$K$400,$S49)="","",INDEX('Master Tracker'!$K$6:$K$400,$S49)))</f>
        <v>P3-09</v>
      </c>
      <c r="K49" t="str">
        <f>IF($S49="","",IF(INDEX('Master Tracker'!$Y$6:$Y$400,$S49)="","",INDEX('Master Tracker'!$Y$6:$Y$400,$S49)))</f>
        <v>⏳ 1 open</v>
      </c>
      <c r="L49" t="str">
        <f>IF($S49="","",IF(INDEX('Master Tracker'!$M$6:$M$400,$S49)="","",INDEX('Master Tracker'!$M$6:$M$400,$S49)))</f>
        <v>tag.php, search.php, 404.php</v>
      </c>
      <c r="M49" t="str">
        <f>IF($S49="","",IF(INDEX('Master Tracker'!$O$6:$O$400,$S49)="","",INDEX('Master Tracker'!$O$6:$O$400,$S49)))</f>
        <v>Search returns relevant results; 404 helpful</v>
      </c>
      <c r="N49" t="str">
        <f>IF($S49="","",IF(INDEX('Master Tracker'!$N$6:$N$400,$S49)="","",INDEX('Master Tracker'!$N$6:$N$400,$S49)))</f>
        <v>Search Arabic terms; visit unknown URL</v>
      </c>
      <c r="O49" t="str">
        <f>IF($S49="","",IF(INDEX('Master Tracker'!$T$6:$T$400,$S49)="","",INDEX('Master Tracker'!$T$6:$T$400,$S49)))</f>
        <v>Not Tested</v>
      </c>
      <c r="P49" t="str">
        <f>IF($S49="","",IF(INDEX('Master Tracker'!$AC$6:$AC$400,$S49)="","",INDEX('Master Tracker'!$AC$6:$AC$400,$S49)))</f>
        <v>On track</v>
      </c>
      <c r="S49">
        <f>IFERROR(MATCH("Phase 3|"&amp;A49,'Master Tracker'!$Z$6:$Z$400,0),"")</f>
        <v>51</v>
      </c>
    </row>
    <row r="50">
      <c r="A50">
        <v>11</v>
      </c>
      <c r="B50" t="str">
        <f>IF($S50="","",IF(INDEX('Master Tracker'!$A$6:$A$400,$S50)="","",INDEX('Master Tracker'!$A$6:$A$400,$S50)))</f>
        <v>P3-11</v>
      </c>
      <c r="C50" t="str">
        <f>IF($S50="","",IF(INDEX('Master Tracker'!$C$6:$C$400,$S50)="","",INDEX('Master Tracker'!$C$6:$C$400,$S50)))</f>
        <v>AJAX Filtering</v>
      </c>
      <c r="D50" t="str">
        <f>IF($S50="","",IF(INDEX('Master Tracker'!$D$6:$D$400,$S50)="","",INDEX('Master Tracker'!$D$6:$D$400,$S50)))</f>
        <v>AJAX archive filtering</v>
      </c>
      <c r="E50" t="str">
        <f>IF($S50="","",IF(INDEX('Master Tracker'!$F$6:$F$400,$S50)="","",INDEX('Master Tracker'!$F$6:$F$400,$S50)))</f>
        <v>P1</v>
      </c>
      <c r="F50" t="str">
        <f>IF($S50="","",IF(INDEX('Master Tracker'!$G$6:$G$400,$S50)="","",INDEX('Master Tracker'!$G$6:$G$400,$S50)))</f>
        <v>Not Started</v>
      </c>
      <c r="G50">
        <f>IF($S50="","",IF(INDEX('Master Tracker'!$H$6:$H$400,$S50)="","",INDEX('Master Tracker'!$H$6:$H$400,$S50)))</f>
        <v>46314</v>
      </c>
      <c r="H50">
        <f>IF($S50="","",IF(INDEX('Master Tracker'!$I$6:$I$400,$S50)="","",INDEX('Master Tracker'!$I$6:$I$400,$S50)))</f>
        <v>46315</v>
      </c>
      <c r="I50">
        <f>IF($S50="","",IF(INDEX('Master Tracker'!$U$6:$U$400,$S50)="","",INDEX('Master Tracker'!$U$6:$U$400,$S50)))</f>
        <v>0</v>
      </c>
      <c r="J50" t="str">
        <f>IF($S50="","",IF(INDEX('Master Tracker'!$K$6:$K$400,$S50)="","",INDEX('Master Tracker'!$K$6:$K$400,$S50)))</f>
        <v>P3-09</v>
      </c>
      <c r="K50" t="str">
        <f>IF($S50="","",IF(INDEX('Master Tracker'!$Y$6:$Y$400,$S50)="","",INDEX('Master Tracker'!$Y$6:$Y$400,$S50)))</f>
        <v>⏳ 1 open</v>
      </c>
      <c r="L50" t="str">
        <f>IF($S50="","",IF(INDEX('Master Tracker'!$M$6:$M$400,$S50)="","",INDEX('Master Tracker'!$M$6:$M$400,$S50)))</f>
        <v>inc/rest/archive-filter.php, assets/js/modules/filter.js</v>
      </c>
      <c r="M50" t="str">
        <f>IF($S50="","",IF(INDEX('Master Tracker'!$O$6:$O$400,$S50)="","",INDEX('Master Tracker'!$O$6:$O$400,$S50)))</f>
        <v>Filtering fast (&lt; 500 ms server), shareable URLs, works without JS</v>
      </c>
      <c r="N50" t="str">
        <f>IF($S50="","",IF(INDEX('Master Tracker'!$N$6:$N$400,$S50)="","",INDEX('Master Tracker'!$N$6:$N$400,$S50)))</f>
        <v>Apply filters; use back button; disable JS and confirm links still work</v>
      </c>
      <c r="O50" t="str">
        <f>IF($S50="","",IF(INDEX('Master Tracker'!$T$6:$T$400,$S50)="","",INDEX('Master Tracker'!$T$6:$T$400,$S50)))</f>
        <v>Not Tested</v>
      </c>
      <c r="P50" t="str">
        <f>IF($S50="","",IF(INDEX('Master Tracker'!$AC$6:$AC$400,$S50)="","",INDEX('Master Tracker'!$AC$6:$AC$400,$S50)))</f>
        <v>On track</v>
      </c>
      <c r="S50">
        <f>IFERROR(MATCH("Phase 3|"&amp;A50,'Master Tracker'!$Z$6:$Z$400,0),"")</f>
        <v>52</v>
      </c>
    </row>
    <row r="51">
      <c r="A51">
        <v>12</v>
      </c>
      <c r="B51" t="str">
        <f>IF($S51="","",IF(INDEX('Master Tracker'!$A$6:$A$400,$S51)="","",INDEX('Master Tracker'!$A$6:$A$400,$S51)))</f>
        <v>P3-12</v>
      </c>
      <c r="C51" t="str">
        <f>IF($S51="","",IF(INDEX('Master Tracker'!$C$6:$C$400,$S51)="","",INDEX('Master Tracker'!$C$6:$C$400,$S51)))</f>
        <v>Archive UX</v>
      </c>
      <c r="D51" t="str">
        <f>IF($S51="","",IF(INDEX('Master Tracker'!$D$6:$D$400,$S51)="","",INDEX('Master Tracker'!$D$6:$D$400,$S51)))</f>
        <v>Grid / list view switching</v>
      </c>
      <c r="E51" t="str">
        <f>IF($S51="","",IF(INDEX('Master Tracker'!$F$6:$F$400,$S51)="","",INDEX('Master Tracker'!$F$6:$F$400,$S51)))</f>
        <v>P2</v>
      </c>
      <c r="F51" t="str">
        <f>IF($S51="","",IF(INDEX('Master Tracker'!$G$6:$G$400,$S51)="","",INDEX('Master Tracker'!$G$6:$G$400,$S51)))</f>
        <v>Not Started</v>
      </c>
      <c r="G51">
        <f>IF($S51="","",IF(INDEX('Master Tracker'!$H$6:$H$400,$S51)="","",INDEX('Master Tracker'!$H$6:$H$400,$S51)))</f>
        <v>46315</v>
      </c>
      <c r="H51">
        <f>IF($S51="","",IF(INDEX('Master Tracker'!$I$6:$I$400,$S51)="","",INDEX('Master Tracker'!$I$6:$I$400,$S51)))</f>
        <v>46315</v>
      </c>
      <c r="I51">
        <f>IF($S51="","",IF(INDEX('Master Tracker'!$U$6:$U$400,$S51)="","",INDEX('Master Tracker'!$U$6:$U$400,$S51)))</f>
        <v>0</v>
      </c>
      <c r="J51" t="str">
        <f>IF($S51="","",IF(INDEX('Master Tracker'!$K$6:$K$400,$S51)="","",INDEX('Master Tracker'!$K$6:$K$400,$S51)))</f>
        <v>P3-09</v>
      </c>
      <c r="K51" t="str">
        <f>IF($S51="","",IF(INDEX('Master Tracker'!$Y$6:$Y$400,$S51)="","",INDEX('Master Tracker'!$Y$6:$Y$400,$S51)))</f>
        <v>⏳ 1 open</v>
      </c>
      <c r="L51" t="str">
        <f>IF($S51="","",IF(INDEX('Master Tracker'!$M$6:$M$400,$S51)="","",INDEX('Master Tracker'!$M$6:$M$400,$S51)))</f>
        <v>assets/js/modules/view-toggle.js</v>
      </c>
      <c r="M51" t="str">
        <f>IF($S51="","",IF(INDEX('Master Tracker'!$O$6:$O$400,$S51)="","",INDEX('Master Tracker'!$O$6:$O$400,$S51)))</f>
        <v>Toggle works on all archives</v>
      </c>
      <c r="N51" t="str">
        <f>IF($S51="","",IF(INDEX('Master Tracker'!$N$6:$N$400,$S51)="","",INDEX('Master Tracker'!$N$6:$N$400,$S51)))</f>
        <v>Toggle on archive; reload page; preference kept</v>
      </c>
      <c r="O51" t="str">
        <f>IF($S51="","",IF(INDEX('Master Tracker'!$T$6:$T$400,$S51)="","",INDEX('Master Tracker'!$T$6:$T$400,$S51)))</f>
        <v>Not Tested</v>
      </c>
      <c r="P51" t="str">
        <f>IF($S51="","",IF(INDEX('Master Tracker'!$AC$6:$AC$400,$S51)="","",INDEX('Master Tracker'!$AC$6:$AC$400,$S51)))</f>
        <v>On track</v>
      </c>
      <c r="S51">
        <f>IFERROR(MATCH("Phase 3|"&amp;A51,'Master Tracker'!$Z$6:$Z$400,0),"")</f>
        <v>53</v>
      </c>
    </row>
    <row r="52">
      <c r="A52">
        <v>13</v>
      </c>
      <c r="B52" t="str">
        <f>IF($S52="","",IF(INDEX('Master Tracker'!$A$6:$A$400,$S52)="","",INDEX('Master Tracker'!$A$6:$A$400,$S52)))</f>
        <v>P3-13</v>
      </c>
      <c r="C52" t="str">
        <f>IF($S52="","",IF(INDEX('Master Tracker'!$C$6:$C$400,$S52)="","",INDEX('Master Tracker'!$C$6:$C$400,$S52)))</f>
        <v>Pagination</v>
      </c>
      <c r="D52" t="str">
        <f>IF($S52="","",IF(INDEX('Master Tracker'!$D$6:$D$400,$S52)="","",INDEX('Master Tracker'!$D$6:$D$400,$S52)))</f>
        <v>Pagination</v>
      </c>
      <c r="E52" t="str">
        <f>IF($S52="","",IF(INDEX('Master Tracker'!$F$6:$F$400,$S52)="","",INDEX('Master Tracker'!$F$6:$F$400,$S52)))</f>
        <v>P0</v>
      </c>
      <c r="F52" t="str">
        <f>IF($S52="","",IF(INDEX('Master Tracker'!$G$6:$G$400,$S52)="","",INDEX('Master Tracker'!$G$6:$G$400,$S52)))</f>
        <v>Not Started</v>
      </c>
      <c r="G52">
        <f>IF($S52="","",IF(INDEX('Master Tracker'!$H$6:$H$400,$S52)="","",INDEX('Master Tracker'!$H$6:$H$400,$S52)))</f>
        <v>46315</v>
      </c>
      <c r="H52">
        <f>IF($S52="","",IF(INDEX('Master Tracker'!$I$6:$I$400,$S52)="","",INDEX('Master Tracker'!$I$6:$I$400,$S52)))</f>
        <v>46315</v>
      </c>
      <c r="I52">
        <f>IF($S52="","",IF(INDEX('Master Tracker'!$U$6:$U$400,$S52)="","",INDEX('Master Tracker'!$U$6:$U$400,$S52)))</f>
        <v>0</v>
      </c>
      <c r="J52" t="str">
        <f>IF($S52="","",IF(INDEX('Master Tracker'!$K$6:$K$400,$S52)="","",INDEX('Master Tracker'!$K$6:$K$400,$S52)))</f>
        <v>P3-09</v>
      </c>
      <c r="K52" t="str">
        <f>IF($S52="","",IF(INDEX('Master Tracker'!$Y$6:$Y$400,$S52)="","",INDEX('Master Tracker'!$Y$6:$Y$400,$S52)))</f>
        <v>⏳ 1 open</v>
      </c>
      <c r="L52" t="str">
        <f>IF($S52="","",IF(INDEX('Master Tracker'!$M$6:$M$400,$S52)="","",INDEX('Master Tracker'!$M$6:$M$400,$S52)))</f>
        <v>template-parts/components/pagination.php</v>
      </c>
      <c r="M52" t="str">
        <f>IF($S52="","",IF(INDEX('Master Tracker'!$O$6:$O$400,$S52)="","",INDEX('Master Tracker'!$O$6:$O$400,$S52)))</f>
        <v>Pagination works on all archives without duplicate content issues</v>
      </c>
      <c r="N52" t="str">
        <f>IF($S52="","",IF(INDEX('Master Tracker'!$N$6:$N$400,$S52)="","",INDEX('Master Tracker'!$N$6:$N$400,$S52)))</f>
        <v>Navigate to last page of large category; check rel/canonical</v>
      </c>
      <c r="O52" t="str">
        <f>IF($S52="","",IF(INDEX('Master Tracker'!$T$6:$T$400,$S52)="","",INDEX('Master Tracker'!$T$6:$T$400,$S52)))</f>
        <v>Not Tested</v>
      </c>
      <c r="P52" t="str">
        <f>IF($S52="","",IF(INDEX('Master Tracker'!$AC$6:$AC$400,$S52)="","",INDEX('Master Tracker'!$AC$6:$AC$400,$S52)))</f>
        <v>On track</v>
      </c>
      <c r="S52">
        <f>IFERROR(MATCH("Phase 3|"&amp;A52,'Master Tracker'!$Z$6:$Z$400,0),"")</f>
        <v>54</v>
      </c>
    </row>
    <row r="53">
      <c r="A53">
        <v>14</v>
      </c>
      <c r="B53" t="str">
        <f>IF($S53="","",IF(INDEX('Master Tracker'!$A$6:$A$400,$S53)="","",INDEX('Master Tracker'!$A$6:$A$400,$S53)))</f>
        <v>P3-14</v>
      </c>
      <c r="C53" t="str">
        <f>IF($S53="","",IF(INDEX('Master Tracker'!$C$6:$C$400,$S53)="","",INDEX('Master Tracker'!$C$6:$C$400,$S53)))</f>
        <v>Print</v>
      </c>
      <c r="D53" t="str">
        <f>IF($S53="","",IF(INDEX('Master Tracker'!$D$6:$D$400,$S53)="","",INDEX('Master Tracker'!$D$6:$D$400,$S53)))</f>
        <v>Print stylesheet</v>
      </c>
      <c r="E53" t="str">
        <f>IF($S53="","",IF(INDEX('Master Tracker'!$F$6:$F$400,$S53)="","",INDEX('Master Tracker'!$F$6:$F$400,$S53)))</f>
        <v>P2</v>
      </c>
      <c r="F53" t="str">
        <f>IF($S53="","",IF(INDEX('Master Tracker'!$G$6:$G$400,$S53)="","",INDEX('Master Tracker'!$G$6:$G$400,$S53)))</f>
        <v>Not Started</v>
      </c>
      <c r="G53">
        <f>IF($S53="","",IF(INDEX('Master Tracker'!$H$6:$H$400,$S53)="","",INDEX('Master Tracker'!$H$6:$H$400,$S53)))</f>
        <v>46315</v>
      </c>
      <c r="H53">
        <f>IF($S53="","",IF(INDEX('Master Tracker'!$I$6:$I$400,$S53)="","",INDEX('Master Tracker'!$I$6:$I$400,$S53)))</f>
        <v>46315</v>
      </c>
      <c r="I53">
        <f>IF($S53="","",IF(INDEX('Master Tracker'!$U$6:$U$400,$S53)="","",INDEX('Master Tracker'!$U$6:$U$400,$S53)))</f>
        <v>0</v>
      </c>
      <c r="J53" t="str">
        <f>IF($S53="","",IF(INDEX('Master Tracker'!$K$6:$K$400,$S53)="","",INDEX('Master Tracker'!$K$6:$K$400,$S53)))</f>
        <v>P3-01</v>
      </c>
      <c r="K53" t="str">
        <f>IF($S53="","",IF(INDEX('Master Tracker'!$Y$6:$Y$400,$S53)="","",INDEX('Master Tracker'!$Y$6:$Y$400,$S53)))</f>
        <v>⏳ 1 open</v>
      </c>
      <c r="L53" t="str">
        <f>IF($S53="","",IF(INDEX('Master Tracker'!$M$6:$M$400,$S53)="","",INDEX('Master Tracker'!$M$6:$M$400,$S53)))</f>
        <v>assets/css/print.css</v>
      </c>
      <c r="M53" t="str">
        <f>IF($S53="","",IF(INDEX('Master Tracker'!$O$6:$O$400,$S53)="","",INDEX('Master Tracker'!$O$6:$O$400,$S53)))</f>
        <v>Clean printable article</v>
      </c>
      <c r="N53" t="str">
        <f>IF($S53="","",IF(INDEX('Master Tracker'!$N$6:$N$400,$S53)="","",INDEX('Master Tracker'!$N$6:$N$400,$S53)))</f>
        <v>Print preview article in Chrome and Safari</v>
      </c>
      <c r="O53" t="str">
        <f>IF($S53="","",IF(INDEX('Master Tracker'!$T$6:$T$400,$S53)="","",INDEX('Master Tracker'!$T$6:$T$400,$S53)))</f>
        <v>Not Tested</v>
      </c>
      <c r="P53" t="str">
        <f>IF($S53="","",IF(INDEX('Master Tracker'!$AC$6:$AC$400,$S53)="","",INDEX('Master Tracker'!$AC$6:$AC$400,$S53)))</f>
        <v>On track</v>
      </c>
      <c r="S53">
        <f>IFERROR(MATCH("Phase 3|"&amp;A53,'Master Tracker'!$Z$6:$Z$400,0),"")</f>
        <v>55</v>
      </c>
    </row>
    <row r="54">
      <c r="A54">
        <v>15</v>
      </c>
      <c r="B54" t="str">
        <f>IF($S54="","",IF(INDEX('Master Tracker'!$A$6:$A$400,$S54)="","",INDEX('Master Tracker'!$A$6:$A$400,$S54)))</f>
        <v>P3-15</v>
      </c>
      <c r="C54" t="str">
        <f>IF($S54="","",IF(INDEX('Master Tracker'!$C$6:$C$400,$S54)="","",INDEX('Master Tracker'!$C$6:$C$400,$S54)))</f>
        <v>SEO</v>
      </c>
      <c r="D54" t="str">
        <f>IF($S54="","",IF(INDEX('Master Tracker'!$D$6:$D$400,$S54)="","",INDEX('Master Tracker'!$D$6:$D$400,$S54)))</f>
        <v>SEO compatibility, schema &amp; breadcrumbs</v>
      </c>
      <c r="E54" t="str">
        <f>IF($S54="","",IF(INDEX('Master Tracker'!$F$6:$F$400,$S54)="","",INDEX('Master Tracker'!$F$6:$F$400,$S54)))</f>
        <v>P0</v>
      </c>
      <c r="F54" t="str">
        <f>IF($S54="","",IF(INDEX('Master Tracker'!$G$6:$G$400,$S54)="","",INDEX('Master Tracker'!$G$6:$G$400,$S54)))</f>
        <v>Not Started</v>
      </c>
      <c r="G54">
        <f>IF($S54="","",IF(INDEX('Master Tracker'!$H$6:$H$400,$S54)="","",INDEX('Master Tracker'!$H$6:$H$400,$S54)))</f>
        <v>46315</v>
      </c>
      <c r="H54">
        <f>IF($S54="","",IF(INDEX('Master Tracker'!$I$6:$I$400,$S54)="","",INDEX('Master Tracker'!$I$6:$I$400,$S54)))</f>
        <v>46315</v>
      </c>
      <c r="I54">
        <f>IF($S54="","",IF(INDEX('Master Tracker'!$U$6:$U$400,$S54)="","",INDEX('Master Tracker'!$U$6:$U$400,$S54)))</f>
        <v>0</v>
      </c>
      <c r="J54" t="str">
        <f>IF($S54="","",IF(INDEX('Master Tracker'!$K$6:$K$400,$S54)="","",INDEX('Master Tracker'!$K$6:$K$400,$S54)))</f>
        <v>P3-01, P3-09, P6-06</v>
      </c>
      <c r="K54" t="str">
        <f>IF($S54="","",IF(INDEX('Master Tracker'!$Y$6:$Y$400,$S54)="","",INDEX('Master Tracker'!$Y$6:$Y$400,$S54)))</f>
        <v>⏳ 3 open</v>
      </c>
      <c r="L54" t="str">
        <f>IF($S54="","",IF(INDEX('Master Tracker'!$M$6:$M$400,$S54)="","",INDEX('Master Tracker'!$M$6:$M$400,$S54)))</f>
        <v>inc/seo.php, header.php</v>
      </c>
      <c r="M54" t="str">
        <f>IF($S54="","",IF(INDEX('Master Tracker'!$O$6:$O$400,$S54)="","",INDEX('Master Tracker'!$O$6:$O$400,$S54)))</f>
        <v>SEO output matches or improves baseline; valid structured data</v>
      </c>
      <c r="N54" t="str">
        <f>IF($S54="","",IF(INDEX('Master Tracker'!$N$6:$N$400,$S54)="","",INDEX('Master Tracker'!$N$6:$N$400,$S54)))</f>
        <v>Compare head tags with baseline; Rich Results test on 3 articles</v>
      </c>
      <c r="O54" t="str">
        <f>IF($S54="","",IF(INDEX('Master Tracker'!$T$6:$T$400,$S54)="","",INDEX('Master Tracker'!$T$6:$T$400,$S54)))</f>
        <v>Not Tested</v>
      </c>
      <c r="P54" t="str">
        <f>IF($S54="","",IF(INDEX('Master Tracker'!$AC$6:$AC$400,$S54)="","",INDEX('Master Tracker'!$AC$6:$AC$400,$S54)))</f>
        <v>On track</v>
      </c>
      <c r="S54">
        <f>IFERROR(MATCH("Phase 3|"&amp;A54,'Master Tracker'!$Z$6:$Z$400,0),"")</f>
        <v>56</v>
      </c>
    </row>
    <row r="55">
      <c r="A55">
        <v>16</v>
      </c>
      <c r="B55" t="str">
        <f>IF($S55="","",IF(INDEX('Master Tracker'!$A$6:$A$400,$S55)="","",INDEX('Master Tracker'!$A$6:$A$400,$S55)))</f>
        <v>P3-16</v>
      </c>
      <c r="C55" t="str">
        <f>IF($S55="","",IF(INDEX('Master Tracker'!$C$6:$C$400,$S55)="","",INDEX('Master Tracker'!$C$6:$C$400,$S55)))</f>
        <v>Phase QA</v>
      </c>
      <c r="D55" t="str">
        <f>IF($S55="","",IF(INDEX('Master Tracker'!$D$6:$D$400,$S55)="","",INDEX('Master Tracker'!$D$6:$D$400,$S55)))</f>
        <v>Editorial templates sign-off</v>
      </c>
      <c r="E55" t="str">
        <f>IF($S55="","",IF(INDEX('Master Tracker'!$F$6:$F$400,$S55)="","",INDEX('Master Tracker'!$F$6:$F$400,$S55)))</f>
        <v>P0</v>
      </c>
      <c r="F55" t="str">
        <f>IF($S55="","",IF(INDEX('Master Tracker'!$G$6:$G$400,$S55)="","",INDEX('Master Tracker'!$G$6:$G$400,$S55)))</f>
        <v>Not Started</v>
      </c>
      <c r="G55">
        <f>IF($S55="","",IF(INDEX('Master Tracker'!$H$6:$H$400,$S55)="","",INDEX('Master Tracker'!$H$6:$H$400,$S55)))</f>
        <v>46315</v>
      </c>
      <c r="H55">
        <f>IF($S55="","",IF(INDEX('Master Tracker'!$I$6:$I$400,$S55)="","",INDEX('Master Tracker'!$I$6:$I$400,$S55)))</f>
        <v>46315</v>
      </c>
      <c r="I55">
        <f>IF($S55="","",IF(INDEX('Master Tracker'!$U$6:$U$400,$S55)="","",INDEX('Master Tracker'!$U$6:$U$400,$S55)))</f>
        <v>0</v>
      </c>
      <c r="J55" t="str">
        <f>IF($S55="","",IF(INDEX('Master Tracker'!$K$6:$K$400,$S55)="","",INDEX('Master Tracker'!$K$6:$K$400,$S55)))</f>
        <v>P3-03, P3-11, P3-15</v>
      </c>
      <c r="K55" t="str">
        <f>IF($S55="","",IF(INDEX('Master Tracker'!$Y$6:$Y$400,$S55)="","",INDEX('Master Tracker'!$Y$6:$Y$400,$S55)))</f>
        <v>⏳ 3 open</v>
      </c>
      <c r="L55" t="str">
        <f>IF($S55="","",IF(INDEX('Master Tracker'!$M$6:$M$400,$S55)="","",INDEX('Master Tracker'!$M$6:$M$400,$S55)))</f>
        <v>—</v>
      </c>
      <c r="M55" t="str">
        <f>IF($S55="","",IF(INDEX('Master Tracker'!$O$6:$O$400,$S55)="","",INDEX('Master Tracker'!$O$6:$O$400,$S55)))</f>
        <v>Templates approved for Phase 4</v>
      </c>
      <c r="N55" t="str">
        <f>IF($S55="","",IF(INDEX('Master Tracker'!$N$6:$N$400,$S55)="","",INDEX('Master Tracker'!$N$6:$N$400,$S55)))</f>
        <v>QA sheet rows for templates 2–4</v>
      </c>
      <c r="O55" t="str">
        <f>IF($S55="","",IF(INDEX('Master Tracker'!$T$6:$T$400,$S55)="","",INDEX('Master Tracker'!$T$6:$T$400,$S55)))</f>
        <v>Not Tested</v>
      </c>
      <c r="P55" t="str">
        <f>IF($S55="","",IF(INDEX('Master Tracker'!$AC$6:$AC$400,$S55)="","",INDEX('Master Tracker'!$AC$6:$AC$400,$S55)))</f>
        <v>On track</v>
      </c>
      <c r="S55">
        <f>IFERROR(MATCH("Phase 3|"&amp;A55,'Master Tracker'!$Z$6:$Z$400,0),"")</f>
        <v>57</v>
      </c>
    </row>
    <row r="56">
      <c r="A56">
        <v>17</v>
      </c>
      <c r="B56" t="str">
        <f>IF($S56="","",IF(INDEX('Master Tracker'!$A$6:$A$400,$S56)="","",INDEX('Master Tracker'!$A$6:$A$400,$S56)))</f>
        <v/>
      </c>
      <c r="C56" t="str">
        <f>IF($S56="","",IF(INDEX('Master Tracker'!$C$6:$C$400,$S56)="","",INDEX('Master Tracker'!$C$6:$C$400,$S56)))</f>
        <v/>
      </c>
      <c r="D56" t="str">
        <f>IF($S56="","",IF(INDEX('Master Tracker'!$D$6:$D$400,$S56)="","",INDEX('Master Tracker'!$D$6:$D$400,$S56)))</f>
        <v/>
      </c>
      <c r="E56" t="str">
        <f>IF($S56="","",IF(INDEX('Master Tracker'!$F$6:$F$400,$S56)="","",INDEX('Master Tracker'!$F$6:$F$400,$S56)))</f>
        <v/>
      </c>
      <c r="F56" t="str">
        <f>IF($S56="","",IF(INDEX('Master Tracker'!$G$6:$G$400,$S56)="","",INDEX('Master Tracker'!$G$6:$G$400,$S56)))</f>
        <v/>
      </c>
      <c r="G56" t="str">
        <f>IF($S56="","",IF(INDEX('Master Tracker'!$H$6:$H$400,$S56)="","",INDEX('Master Tracker'!$H$6:$H$400,$S56)))</f>
        <v/>
      </c>
      <c r="H56" t="str">
        <f>IF($S56="","",IF(INDEX('Master Tracker'!$I$6:$I$400,$S56)="","",INDEX('Master Tracker'!$I$6:$I$400,$S56)))</f>
        <v/>
      </c>
      <c r="I56" t="str">
        <f>IF($S56="","",IF(INDEX('Master Tracker'!$U$6:$U$400,$S56)="","",INDEX('Master Tracker'!$U$6:$U$400,$S56)))</f>
        <v/>
      </c>
      <c r="J56" t="str">
        <f>IF($S56="","",IF(INDEX('Master Tracker'!$K$6:$K$400,$S56)="","",INDEX('Master Tracker'!$K$6:$K$400,$S56)))</f>
        <v/>
      </c>
      <c r="K56" t="str">
        <f>IF($S56="","",IF(INDEX('Master Tracker'!$Y$6:$Y$400,$S56)="","",INDEX('Master Tracker'!$Y$6:$Y$400,$S56)))</f>
        <v/>
      </c>
      <c r="L56" t="str">
        <f>IF($S56="","",IF(INDEX('Master Tracker'!$M$6:$M$400,$S56)="","",INDEX('Master Tracker'!$M$6:$M$400,$S56)))</f>
        <v/>
      </c>
      <c r="M56" t="str">
        <f>IF($S56="","",IF(INDEX('Master Tracker'!$O$6:$O$400,$S56)="","",INDEX('Master Tracker'!$O$6:$O$400,$S56)))</f>
        <v/>
      </c>
      <c r="N56" t="str">
        <f>IF($S56="","",IF(INDEX('Master Tracker'!$N$6:$N$400,$S56)="","",INDEX('Master Tracker'!$N$6:$N$400,$S56)))</f>
        <v/>
      </c>
      <c r="O56" t="str">
        <f>IF($S56="","",IF(INDEX('Master Tracker'!$T$6:$T$400,$S56)="","",INDEX('Master Tracker'!$T$6:$T$400,$S56)))</f>
        <v/>
      </c>
      <c r="P56" t="str">
        <f>IF($S56="","",IF(INDEX('Master Tracker'!$AC$6:$AC$400,$S56)="","",INDEX('Master Tracker'!$AC$6:$AC$400,$S56)))</f>
        <v/>
      </c>
      <c r="S56" t="str">
        <f>IFERROR(MATCH("Phase 3|"&amp;A56,'Master Tracker'!$Z$6:$Z$400,0),"")</f>
        <v/>
      </c>
    </row>
    <row r="57">
      <c r="A57">
        <v>18</v>
      </c>
      <c r="B57" t="str">
        <f>IF($S57="","",IF(INDEX('Master Tracker'!$A$6:$A$400,$S57)="","",INDEX('Master Tracker'!$A$6:$A$400,$S57)))</f>
        <v/>
      </c>
      <c r="C57" t="str">
        <f>IF($S57="","",IF(INDEX('Master Tracker'!$C$6:$C$400,$S57)="","",INDEX('Master Tracker'!$C$6:$C$400,$S57)))</f>
        <v/>
      </c>
      <c r="D57" t="str">
        <f>IF($S57="","",IF(INDEX('Master Tracker'!$D$6:$D$400,$S57)="","",INDEX('Master Tracker'!$D$6:$D$400,$S57)))</f>
        <v/>
      </c>
      <c r="E57" t="str">
        <f>IF($S57="","",IF(INDEX('Master Tracker'!$F$6:$F$400,$S57)="","",INDEX('Master Tracker'!$F$6:$F$400,$S57)))</f>
        <v/>
      </c>
      <c r="F57" t="str">
        <f>IF($S57="","",IF(INDEX('Master Tracker'!$G$6:$G$400,$S57)="","",INDEX('Master Tracker'!$G$6:$G$400,$S57)))</f>
        <v/>
      </c>
      <c r="G57" t="str">
        <f>IF($S57="","",IF(INDEX('Master Tracker'!$H$6:$H$400,$S57)="","",INDEX('Master Tracker'!$H$6:$H$400,$S57)))</f>
        <v/>
      </c>
      <c r="H57" t="str">
        <f>IF($S57="","",IF(INDEX('Master Tracker'!$I$6:$I$400,$S57)="","",INDEX('Master Tracker'!$I$6:$I$400,$S57)))</f>
        <v/>
      </c>
      <c r="I57" t="str">
        <f>IF($S57="","",IF(INDEX('Master Tracker'!$U$6:$U$400,$S57)="","",INDEX('Master Tracker'!$U$6:$U$400,$S57)))</f>
        <v/>
      </c>
      <c r="J57" t="str">
        <f>IF($S57="","",IF(INDEX('Master Tracker'!$K$6:$K$400,$S57)="","",INDEX('Master Tracker'!$K$6:$K$400,$S57)))</f>
        <v/>
      </c>
      <c r="K57" t="str">
        <f>IF($S57="","",IF(INDEX('Master Tracker'!$Y$6:$Y$400,$S57)="","",INDEX('Master Tracker'!$Y$6:$Y$400,$S57)))</f>
        <v/>
      </c>
      <c r="L57" t="str">
        <f>IF($S57="","",IF(INDEX('Master Tracker'!$M$6:$M$400,$S57)="","",INDEX('Master Tracker'!$M$6:$M$400,$S57)))</f>
        <v/>
      </c>
      <c r="M57" t="str">
        <f>IF($S57="","",IF(INDEX('Master Tracker'!$O$6:$O$400,$S57)="","",INDEX('Master Tracker'!$O$6:$O$400,$S57)))</f>
        <v/>
      </c>
      <c r="N57" t="str">
        <f>IF($S57="","",IF(INDEX('Master Tracker'!$N$6:$N$400,$S57)="","",INDEX('Master Tracker'!$N$6:$N$400,$S57)))</f>
        <v/>
      </c>
      <c r="O57" t="str">
        <f>IF($S57="","",IF(INDEX('Master Tracker'!$T$6:$T$400,$S57)="","",INDEX('Master Tracker'!$T$6:$T$400,$S57)))</f>
        <v/>
      </c>
      <c r="P57" t="str">
        <f>IF($S57="","",IF(INDEX('Master Tracker'!$AC$6:$AC$400,$S57)="","",INDEX('Master Tracker'!$AC$6:$AC$400,$S57)))</f>
        <v/>
      </c>
      <c r="S57" t="str">
        <f>IFERROR(MATCH("Phase 3|"&amp;A57,'Master Tracker'!$Z$6:$Z$400,0),"")</f>
        <v/>
      </c>
    </row>
    <row r="58">
      <c r="A58">
        <v>19</v>
      </c>
      <c r="B58" t="str">
        <f>IF($S58="","",IF(INDEX('Master Tracker'!$A$6:$A$400,$S58)="","",INDEX('Master Tracker'!$A$6:$A$400,$S58)))</f>
        <v/>
      </c>
      <c r="C58" t="str">
        <f>IF($S58="","",IF(INDEX('Master Tracker'!$C$6:$C$400,$S58)="","",INDEX('Master Tracker'!$C$6:$C$400,$S58)))</f>
        <v/>
      </c>
      <c r="D58" t="str">
        <f>IF($S58="","",IF(INDEX('Master Tracker'!$D$6:$D$400,$S58)="","",INDEX('Master Tracker'!$D$6:$D$400,$S58)))</f>
        <v/>
      </c>
      <c r="E58" t="str">
        <f>IF($S58="","",IF(INDEX('Master Tracker'!$F$6:$F$400,$S58)="","",INDEX('Master Tracker'!$F$6:$F$400,$S58)))</f>
        <v/>
      </c>
      <c r="F58" t="str">
        <f>IF($S58="","",IF(INDEX('Master Tracker'!$G$6:$G$400,$S58)="","",INDEX('Master Tracker'!$G$6:$G$400,$S58)))</f>
        <v/>
      </c>
      <c r="G58" t="str">
        <f>IF($S58="","",IF(INDEX('Master Tracker'!$H$6:$H$400,$S58)="","",INDEX('Master Tracker'!$H$6:$H$400,$S58)))</f>
        <v/>
      </c>
      <c r="H58" t="str">
        <f>IF($S58="","",IF(INDEX('Master Tracker'!$I$6:$I$400,$S58)="","",INDEX('Master Tracker'!$I$6:$I$400,$S58)))</f>
        <v/>
      </c>
      <c r="I58" t="str">
        <f>IF($S58="","",IF(INDEX('Master Tracker'!$U$6:$U$400,$S58)="","",INDEX('Master Tracker'!$U$6:$U$400,$S58)))</f>
        <v/>
      </c>
      <c r="J58" t="str">
        <f>IF($S58="","",IF(INDEX('Master Tracker'!$K$6:$K$400,$S58)="","",INDEX('Master Tracker'!$K$6:$K$400,$S58)))</f>
        <v/>
      </c>
      <c r="K58" t="str">
        <f>IF($S58="","",IF(INDEX('Master Tracker'!$Y$6:$Y$400,$S58)="","",INDEX('Master Tracker'!$Y$6:$Y$400,$S58)))</f>
        <v/>
      </c>
      <c r="L58" t="str">
        <f>IF($S58="","",IF(INDEX('Master Tracker'!$M$6:$M$400,$S58)="","",INDEX('Master Tracker'!$M$6:$M$400,$S58)))</f>
        <v/>
      </c>
      <c r="M58" t="str">
        <f>IF($S58="","",IF(INDEX('Master Tracker'!$O$6:$O$400,$S58)="","",INDEX('Master Tracker'!$O$6:$O$400,$S58)))</f>
        <v/>
      </c>
      <c r="N58" t="str">
        <f>IF($S58="","",IF(INDEX('Master Tracker'!$N$6:$N$400,$S58)="","",INDEX('Master Tracker'!$N$6:$N$400,$S58)))</f>
        <v/>
      </c>
      <c r="O58" t="str">
        <f>IF($S58="","",IF(INDEX('Master Tracker'!$T$6:$T$400,$S58)="","",INDEX('Master Tracker'!$T$6:$T$400,$S58)))</f>
        <v/>
      </c>
      <c r="P58" t="str">
        <f>IF($S58="","",IF(INDEX('Master Tracker'!$AC$6:$AC$400,$S58)="","",INDEX('Master Tracker'!$AC$6:$AC$400,$S58)))</f>
        <v/>
      </c>
      <c r="S58" t="str">
        <f>IFERROR(MATCH("Phase 3|"&amp;A58,'Master Tracker'!$Z$6:$Z$400,0),"")</f>
        <v/>
      </c>
    </row>
    <row r="59">
      <c r="A59">
        <v>20</v>
      </c>
      <c r="B59" t="str">
        <f>IF($S59="","",IF(INDEX('Master Tracker'!$A$6:$A$400,$S59)="","",INDEX('Master Tracker'!$A$6:$A$400,$S59)))</f>
        <v/>
      </c>
      <c r="C59" t="str">
        <f>IF($S59="","",IF(INDEX('Master Tracker'!$C$6:$C$400,$S59)="","",INDEX('Master Tracker'!$C$6:$C$400,$S59)))</f>
        <v/>
      </c>
      <c r="D59" t="str">
        <f>IF($S59="","",IF(INDEX('Master Tracker'!$D$6:$D$400,$S59)="","",INDEX('Master Tracker'!$D$6:$D$400,$S59)))</f>
        <v/>
      </c>
      <c r="E59" t="str">
        <f>IF($S59="","",IF(INDEX('Master Tracker'!$F$6:$F$400,$S59)="","",INDEX('Master Tracker'!$F$6:$F$400,$S59)))</f>
        <v/>
      </c>
      <c r="F59" t="str">
        <f>IF($S59="","",IF(INDEX('Master Tracker'!$G$6:$G$400,$S59)="","",INDEX('Master Tracker'!$G$6:$G$400,$S59)))</f>
        <v/>
      </c>
      <c r="G59" t="str">
        <f>IF($S59="","",IF(INDEX('Master Tracker'!$H$6:$H$400,$S59)="","",INDEX('Master Tracker'!$H$6:$H$400,$S59)))</f>
        <v/>
      </c>
      <c r="H59" t="str">
        <f>IF($S59="","",IF(INDEX('Master Tracker'!$I$6:$I$400,$S59)="","",INDEX('Master Tracker'!$I$6:$I$400,$S59)))</f>
        <v/>
      </c>
      <c r="I59" t="str">
        <f>IF($S59="","",IF(INDEX('Master Tracker'!$U$6:$U$400,$S59)="","",INDEX('Master Tracker'!$U$6:$U$400,$S59)))</f>
        <v/>
      </c>
      <c r="J59" t="str">
        <f>IF($S59="","",IF(INDEX('Master Tracker'!$K$6:$K$400,$S59)="","",INDEX('Master Tracker'!$K$6:$K$400,$S59)))</f>
        <v/>
      </c>
      <c r="K59" t="str">
        <f>IF($S59="","",IF(INDEX('Master Tracker'!$Y$6:$Y$400,$S59)="","",INDEX('Master Tracker'!$Y$6:$Y$400,$S59)))</f>
        <v/>
      </c>
      <c r="L59" t="str">
        <f>IF($S59="","",IF(INDEX('Master Tracker'!$M$6:$M$400,$S59)="","",INDEX('Master Tracker'!$M$6:$M$400,$S59)))</f>
        <v/>
      </c>
      <c r="M59" t="str">
        <f>IF($S59="","",IF(INDEX('Master Tracker'!$O$6:$O$400,$S59)="","",INDEX('Master Tracker'!$O$6:$O$400,$S59)))</f>
        <v/>
      </c>
      <c r="N59" t="str">
        <f>IF($S59="","",IF(INDEX('Master Tracker'!$N$6:$N$400,$S59)="","",INDEX('Master Tracker'!$N$6:$N$400,$S59)))</f>
        <v/>
      </c>
      <c r="O59" t="str">
        <f>IF($S59="","",IF(INDEX('Master Tracker'!$T$6:$T$400,$S59)="","",INDEX('Master Tracker'!$T$6:$T$400,$S59)))</f>
        <v/>
      </c>
      <c r="P59" t="str">
        <f>IF($S59="","",IF(INDEX('Master Tracker'!$AC$6:$AC$400,$S59)="","",INDEX('Master Tracker'!$AC$6:$AC$400,$S59)))</f>
        <v/>
      </c>
      <c r="S59" t="str">
        <f>IFERROR(MATCH("Phase 3|"&amp;A59,'Master Tracker'!$Z$6:$Z$400,0),"")</f>
        <v/>
      </c>
    </row>
    <row r="60">
      <c r="A60">
        <v>21</v>
      </c>
      <c r="B60" t="str">
        <f>IF($S60="","",IF(INDEX('Master Tracker'!$A$6:$A$400,$S60)="","",INDEX('Master Tracker'!$A$6:$A$400,$S60)))</f>
        <v/>
      </c>
      <c r="C60" t="str">
        <f>IF($S60="","",IF(INDEX('Master Tracker'!$C$6:$C$400,$S60)="","",INDEX('Master Tracker'!$C$6:$C$400,$S60)))</f>
        <v/>
      </c>
      <c r="D60" t="str">
        <f>IF($S60="","",IF(INDEX('Master Tracker'!$D$6:$D$400,$S60)="","",INDEX('Master Tracker'!$D$6:$D$400,$S60)))</f>
        <v/>
      </c>
      <c r="E60" t="str">
        <f>IF($S60="","",IF(INDEX('Master Tracker'!$F$6:$F$400,$S60)="","",INDEX('Master Tracker'!$F$6:$F$400,$S60)))</f>
        <v/>
      </c>
      <c r="F60" t="str">
        <f>IF($S60="","",IF(INDEX('Master Tracker'!$G$6:$G$400,$S60)="","",INDEX('Master Tracker'!$G$6:$G$400,$S60)))</f>
        <v/>
      </c>
      <c r="G60" t="str">
        <f>IF($S60="","",IF(INDEX('Master Tracker'!$H$6:$H$400,$S60)="","",INDEX('Master Tracker'!$H$6:$H$400,$S60)))</f>
        <v/>
      </c>
      <c r="H60" t="str">
        <f>IF($S60="","",IF(INDEX('Master Tracker'!$I$6:$I$400,$S60)="","",INDEX('Master Tracker'!$I$6:$I$400,$S60)))</f>
        <v/>
      </c>
      <c r="I60" t="str">
        <f>IF($S60="","",IF(INDEX('Master Tracker'!$U$6:$U$400,$S60)="","",INDEX('Master Tracker'!$U$6:$U$400,$S60)))</f>
        <v/>
      </c>
      <c r="J60" t="str">
        <f>IF($S60="","",IF(INDEX('Master Tracker'!$K$6:$K$400,$S60)="","",INDEX('Master Tracker'!$K$6:$K$400,$S60)))</f>
        <v/>
      </c>
      <c r="K60" t="str">
        <f>IF($S60="","",IF(INDEX('Master Tracker'!$Y$6:$Y$400,$S60)="","",INDEX('Master Tracker'!$Y$6:$Y$400,$S60)))</f>
        <v/>
      </c>
      <c r="L60" t="str">
        <f>IF($S60="","",IF(INDEX('Master Tracker'!$M$6:$M$400,$S60)="","",INDEX('Master Tracker'!$M$6:$M$400,$S60)))</f>
        <v/>
      </c>
      <c r="M60" t="str">
        <f>IF($S60="","",IF(INDEX('Master Tracker'!$O$6:$O$400,$S60)="","",INDEX('Master Tracker'!$O$6:$O$400,$S60)))</f>
        <v/>
      </c>
      <c r="N60" t="str">
        <f>IF($S60="","",IF(INDEX('Master Tracker'!$N$6:$N$400,$S60)="","",INDEX('Master Tracker'!$N$6:$N$400,$S60)))</f>
        <v/>
      </c>
      <c r="O60" t="str">
        <f>IF($S60="","",IF(INDEX('Master Tracker'!$T$6:$T$400,$S60)="","",INDEX('Master Tracker'!$T$6:$T$400,$S60)))</f>
        <v/>
      </c>
      <c r="P60" t="str">
        <f>IF($S60="","",IF(INDEX('Master Tracker'!$AC$6:$AC$400,$S60)="","",INDEX('Master Tracker'!$AC$6:$AC$400,$S60)))</f>
        <v/>
      </c>
      <c r="S60" t="str">
        <f>IFERROR(MATCH("Phase 3|"&amp;A60,'Master Tracker'!$Z$6:$Z$400,0),"")</f>
        <v/>
      </c>
    </row>
    <row r="61">
      <c r="A61">
        <v>22</v>
      </c>
      <c r="B61" t="str">
        <f>IF($S61="","",IF(INDEX('Master Tracker'!$A$6:$A$400,$S61)="","",INDEX('Master Tracker'!$A$6:$A$400,$S61)))</f>
        <v/>
      </c>
      <c r="C61" t="str">
        <f>IF($S61="","",IF(INDEX('Master Tracker'!$C$6:$C$400,$S61)="","",INDEX('Master Tracker'!$C$6:$C$400,$S61)))</f>
        <v/>
      </c>
      <c r="D61" t="str">
        <f>IF($S61="","",IF(INDEX('Master Tracker'!$D$6:$D$400,$S61)="","",INDEX('Master Tracker'!$D$6:$D$400,$S61)))</f>
        <v/>
      </c>
      <c r="E61" t="str">
        <f>IF($S61="","",IF(INDEX('Master Tracker'!$F$6:$F$400,$S61)="","",INDEX('Master Tracker'!$F$6:$F$400,$S61)))</f>
        <v/>
      </c>
      <c r="F61" t="str">
        <f>IF($S61="","",IF(INDEX('Master Tracker'!$G$6:$G$400,$S61)="","",INDEX('Master Tracker'!$G$6:$G$400,$S61)))</f>
        <v/>
      </c>
      <c r="G61" t="str">
        <f>IF($S61="","",IF(INDEX('Master Tracker'!$H$6:$H$400,$S61)="","",INDEX('Master Tracker'!$H$6:$H$400,$S61)))</f>
        <v/>
      </c>
      <c r="H61" t="str">
        <f>IF($S61="","",IF(INDEX('Master Tracker'!$I$6:$I$400,$S61)="","",INDEX('Master Tracker'!$I$6:$I$400,$S61)))</f>
        <v/>
      </c>
      <c r="I61" t="str">
        <f>IF($S61="","",IF(INDEX('Master Tracker'!$U$6:$U$400,$S61)="","",INDEX('Master Tracker'!$U$6:$U$400,$S61)))</f>
        <v/>
      </c>
      <c r="J61" t="str">
        <f>IF($S61="","",IF(INDEX('Master Tracker'!$K$6:$K$400,$S61)="","",INDEX('Master Tracker'!$K$6:$K$400,$S61)))</f>
        <v/>
      </c>
      <c r="K61" t="str">
        <f>IF($S61="","",IF(INDEX('Master Tracker'!$Y$6:$Y$400,$S61)="","",INDEX('Master Tracker'!$Y$6:$Y$400,$S61)))</f>
        <v/>
      </c>
      <c r="L61" t="str">
        <f>IF($S61="","",IF(INDEX('Master Tracker'!$M$6:$M$400,$S61)="","",INDEX('Master Tracker'!$M$6:$M$400,$S61)))</f>
        <v/>
      </c>
      <c r="M61" t="str">
        <f>IF($S61="","",IF(INDEX('Master Tracker'!$O$6:$O$400,$S61)="","",INDEX('Master Tracker'!$O$6:$O$400,$S61)))</f>
        <v/>
      </c>
      <c r="N61" t="str">
        <f>IF($S61="","",IF(INDEX('Master Tracker'!$N$6:$N$400,$S61)="","",INDEX('Master Tracker'!$N$6:$N$400,$S61)))</f>
        <v/>
      </c>
      <c r="O61" t="str">
        <f>IF($S61="","",IF(INDEX('Master Tracker'!$T$6:$T$400,$S61)="","",INDEX('Master Tracker'!$T$6:$T$400,$S61)))</f>
        <v/>
      </c>
      <c r="P61" t="str">
        <f>IF($S61="","",IF(INDEX('Master Tracker'!$AC$6:$AC$400,$S61)="","",INDEX('Master Tracker'!$AC$6:$AC$400,$S61)))</f>
        <v/>
      </c>
      <c r="S61" t="str">
        <f>IFERROR(MATCH("Phase 3|"&amp;A61,'Master Tracker'!$Z$6:$Z$400,0),"")</f>
        <v/>
      </c>
    </row>
    <row r="62">
      <c r="A62">
        <v>23</v>
      </c>
      <c r="B62" t="str">
        <f>IF($S62="","",IF(INDEX('Master Tracker'!$A$6:$A$400,$S62)="","",INDEX('Master Tracker'!$A$6:$A$400,$S62)))</f>
        <v/>
      </c>
      <c r="C62" t="str">
        <f>IF($S62="","",IF(INDEX('Master Tracker'!$C$6:$C$400,$S62)="","",INDEX('Master Tracker'!$C$6:$C$400,$S62)))</f>
        <v/>
      </c>
      <c r="D62" t="str">
        <f>IF($S62="","",IF(INDEX('Master Tracker'!$D$6:$D$400,$S62)="","",INDEX('Master Tracker'!$D$6:$D$400,$S62)))</f>
        <v/>
      </c>
      <c r="E62" t="str">
        <f>IF($S62="","",IF(INDEX('Master Tracker'!$F$6:$F$400,$S62)="","",INDEX('Master Tracker'!$F$6:$F$400,$S62)))</f>
        <v/>
      </c>
      <c r="F62" t="str">
        <f>IF($S62="","",IF(INDEX('Master Tracker'!$G$6:$G$400,$S62)="","",INDEX('Master Tracker'!$G$6:$G$400,$S62)))</f>
        <v/>
      </c>
      <c r="G62" t="str">
        <f>IF($S62="","",IF(INDEX('Master Tracker'!$H$6:$H$400,$S62)="","",INDEX('Master Tracker'!$H$6:$H$400,$S62)))</f>
        <v/>
      </c>
      <c r="H62" t="str">
        <f>IF($S62="","",IF(INDEX('Master Tracker'!$I$6:$I$400,$S62)="","",INDEX('Master Tracker'!$I$6:$I$400,$S62)))</f>
        <v/>
      </c>
      <c r="I62" t="str">
        <f>IF($S62="","",IF(INDEX('Master Tracker'!$U$6:$U$400,$S62)="","",INDEX('Master Tracker'!$U$6:$U$400,$S62)))</f>
        <v/>
      </c>
      <c r="J62" t="str">
        <f>IF($S62="","",IF(INDEX('Master Tracker'!$K$6:$K$400,$S62)="","",INDEX('Master Tracker'!$K$6:$K$400,$S62)))</f>
        <v/>
      </c>
      <c r="K62" t="str">
        <f>IF($S62="","",IF(INDEX('Master Tracker'!$Y$6:$Y$400,$S62)="","",INDEX('Master Tracker'!$Y$6:$Y$400,$S62)))</f>
        <v/>
      </c>
      <c r="L62" t="str">
        <f>IF($S62="","",IF(INDEX('Master Tracker'!$M$6:$M$400,$S62)="","",INDEX('Master Tracker'!$M$6:$M$400,$S62)))</f>
        <v/>
      </c>
      <c r="M62" t="str">
        <f>IF($S62="","",IF(INDEX('Master Tracker'!$O$6:$O$400,$S62)="","",INDEX('Master Tracker'!$O$6:$O$400,$S62)))</f>
        <v/>
      </c>
      <c r="N62" t="str">
        <f>IF($S62="","",IF(INDEX('Master Tracker'!$N$6:$N$400,$S62)="","",INDEX('Master Tracker'!$N$6:$N$400,$S62)))</f>
        <v/>
      </c>
      <c r="O62" t="str">
        <f>IF($S62="","",IF(INDEX('Master Tracker'!$T$6:$T$400,$S62)="","",INDEX('Master Tracker'!$T$6:$T$400,$S62)))</f>
        <v/>
      </c>
      <c r="P62" t="str">
        <f>IF($S62="","",IF(INDEX('Master Tracker'!$AC$6:$AC$400,$S62)="","",INDEX('Master Tracker'!$AC$6:$AC$400,$S62)))</f>
        <v/>
      </c>
      <c r="S62" t="str">
        <f>IFERROR(MATCH("Phase 3|"&amp;A62,'Master Tracker'!$Z$6:$Z$400,0),"")</f>
        <v/>
      </c>
    </row>
    <row r="63">
      <c r="A63">
        <v>24</v>
      </c>
      <c r="B63" t="str">
        <f>IF($S63="","",IF(INDEX('Master Tracker'!$A$6:$A$400,$S63)="","",INDEX('Master Tracker'!$A$6:$A$400,$S63)))</f>
        <v/>
      </c>
      <c r="C63" t="str">
        <f>IF($S63="","",IF(INDEX('Master Tracker'!$C$6:$C$400,$S63)="","",INDEX('Master Tracker'!$C$6:$C$400,$S63)))</f>
        <v/>
      </c>
      <c r="D63" t="str">
        <f>IF($S63="","",IF(INDEX('Master Tracker'!$D$6:$D$400,$S63)="","",INDEX('Master Tracker'!$D$6:$D$400,$S63)))</f>
        <v/>
      </c>
      <c r="E63" t="str">
        <f>IF($S63="","",IF(INDEX('Master Tracker'!$F$6:$F$400,$S63)="","",INDEX('Master Tracker'!$F$6:$F$400,$S63)))</f>
        <v/>
      </c>
      <c r="F63" t="str">
        <f>IF($S63="","",IF(INDEX('Master Tracker'!$G$6:$G$400,$S63)="","",INDEX('Master Tracker'!$G$6:$G$400,$S63)))</f>
        <v/>
      </c>
      <c r="G63" t="str">
        <f>IF($S63="","",IF(INDEX('Master Tracker'!$H$6:$H$400,$S63)="","",INDEX('Master Tracker'!$H$6:$H$400,$S63)))</f>
        <v/>
      </c>
      <c r="H63" t="str">
        <f>IF($S63="","",IF(INDEX('Master Tracker'!$I$6:$I$400,$S63)="","",INDEX('Master Tracker'!$I$6:$I$400,$S63)))</f>
        <v/>
      </c>
      <c r="I63" t="str">
        <f>IF($S63="","",IF(INDEX('Master Tracker'!$U$6:$U$400,$S63)="","",INDEX('Master Tracker'!$U$6:$U$400,$S63)))</f>
        <v/>
      </c>
      <c r="J63" t="str">
        <f>IF($S63="","",IF(INDEX('Master Tracker'!$K$6:$K$400,$S63)="","",INDEX('Master Tracker'!$K$6:$K$400,$S63)))</f>
        <v/>
      </c>
      <c r="K63" t="str">
        <f>IF($S63="","",IF(INDEX('Master Tracker'!$Y$6:$Y$400,$S63)="","",INDEX('Master Tracker'!$Y$6:$Y$400,$S63)))</f>
        <v/>
      </c>
      <c r="L63" t="str">
        <f>IF($S63="","",IF(INDEX('Master Tracker'!$M$6:$M$400,$S63)="","",INDEX('Master Tracker'!$M$6:$M$400,$S63)))</f>
        <v/>
      </c>
      <c r="M63" t="str">
        <f>IF($S63="","",IF(INDEX('Master Tracker'!$O$6:$O$400,$S63)="","",INDEX('Master Tracker'!$O$6:$O$400,$S63)))</f>
        <v/>
      </c>
      <c r="N63" t="str">
        <f>IF($S63="","",IF(INDEX('Master Tracker'!$N$6:$N$400,$S63)="","",INDEX('Master Tracker'!$N$6:$N$400,$S63)))</f>
        <v/>
      </c>
      <c r="O63" t="str">
        <f>IF($S63="","",IF(INDEX('Master Tracker'!$T$6:$T$400,$S63)="","",INDEX('Master Tracker'!$T$6:$T$400,$S63)))</f>
        <v/>
      </c>
      <c r="P63" t="str">
        <f>IF($S63="","",IF(INDEX('Master Tracker'!$AC$6:$AC$400,$S63)="","",INDEX('Master Tracker'!$AC$6:$AC$400,$S63)))</f>
        <v/>
      </c>
      <c r="S63" t="str">
        <f>IFERROR(MATCH("Phase 3|"&amp;A63,'Master Tracker'!$Z$6:$Z$400,0),"")</f>
        <v/>
      </c>
    </row>
  </sheetData>
  <mergeCells count="54">
    <mergeCell ref="B36:R36"/>
    <mergeCell ref="A1:R1"/>
    <mergeCell ref="J13:R13"/>
    <mergeCell ref="A19:H19"/>
    <mergeCell ref="B33:R33"/>
    <mergeCell ref="P6:R6"/>
    <mergeCell ref="A38:R38"/>
    <mergeCell ref="J18:R18"/>
    <mergeCell ref="B29:R29"/>
    <mergeCell ref="A10:R10"/>
    <mergeCell ref="J23:R23"/>
    <mergeCell ref="B34:R34"/>
    <mergeCell ref="A14:H14"/>
    <mergeCell ref="B28:R28"/>
    <mergeCell ref="J17:R17"/>
    <mergeCell ref="A23:H23"/>
    <mergeCell ref="A22:H22"/>
    <mergeCell ref="A17:H17"/>
    <mergeCell ref="J14:R14"/>
    <mergeCell ref="B30:R30"/>
    <mergeCell ref="A20:H20"/>
    <mergeCell ref="J19:R19"/>
    <mergeCell ref="A2:R2"/>
    <mergeCell ref="A16:H16"/>
    <mergeCell ref="J22:R22"/>
    <mergeCell ref="J21:R21"/>
    <mergeCell ref="A12:H12"/>
    <mergeCell ref="J12:R12"/>
    <mergeCell ref="A18:H18"/>
    <mergeCell ref="E6:F6"/>
    <mergeCell ref="A21:H21"/>
    <mergeCell ref="P5:R5"/>
    <mergeCell ref="A9:R9"/>
    <mergeCell ref="A6:C6"/>
    <mergeCell ref="H5:I5"/>
    <mergeCell ref="A13:H13"/>
    <mergeCell ref="B35:R35"/>
    <mergeCell ref="A24:H24"/>
    <mergeCell ref="E5:F5"/>
    <mergeCell ref="A3:C3"/>
    <mergeCell ref="B31:R31"/>
    <mergeCell ref="J20:R20"/>
    <mergeCell ref="A26:R26"/>
    <mergeCell ref="J16:R16"/>
    <mergeCell ref="H6:I6"/>
    <mergeCell ref="B27:R27"/>
    <mergeCell ref="A5:C5"/>
    <mergeCell ref="J6:K6"/>
    <mergeCell ref="B32:R32"/>
    <mergeCell ref="J24:R24"/>
    <mergeCell ref="A7:R7"/>
    <mergeCell ref="A15:H15"/>
    <mergeCell ref="J5:K5"/>
    <mergeCell ref="J15:R15"/>
  </mergeCells>
  <hyperlinks>
    <hyperlink ref="A3" location="'Executive Dashboard'!A1"/>
    <hyperlink ref="D3" location="'Master Tracker'!A1"/>
    <hyperlink ref="F3" r:id="rId1"/>
  </hyperlinks>
  <pageMargins left="0.75" right="0.75" top="1" bottom="1" header="0.5" footer="0.5"/>
  <ignoredErrors>
    <ignoredError numberStoredAsText="1" sqref="A1:S63"/>
  </ignoredErrors>
</worksheet>
</file>

<file path=xl/worksheets/sheet6.xml><?xml version="1.0" encoding="utf-8"?>
<worksheet xmlns="http://schemas.openxmlformats.org/spreadsheetml/2006/main" xmlns:r="http://schemas.openxmlformats.org/officeDocument/2006/relationships">
  <dimension ref="A1:S57"/>
  <sheetViews>
    <sheetView workbookViewId="0" rightToLeft="0"/>
  </sheetViews>
  <sheetData>
    <row r="1">
      <c r="A1" t="str">
        <v xml:space="preserve">  PHASE 4 — DIGITAL ISSUES ARCHIVE &amp; CPT ENGINE</v>
      </c>
    </row>
    <row r="2">
      <c r="A2" t="str">
        <v xml:space="preserve">  Window 21 Oct – 22 Oct 2026   ·   Status is read live from the Master Tracker (edit there)</v>
      </c>
    </row>
    <row r="3">
      <c r="A3" t="str">
        <v>← Dashboard</v>
      </c>
      <c r="D3" t="str">
        <v>Open Master Tracker →</v>
      </c>
      <c r="F3" t="str">
        <v>Staging ↗</v>
      </c>
    </row>
    <row r="5">
      <c r="A5" t="str">
        <v>COMPLETION</v>
      </c>
      <c r="D5" t="str">
        <v>PLANNED</v>
      </c>
      <c r="E5" t="str">
        <v>TASKS</v>
      </c>
      <c r="G5" t="str">
        <v>DONE</v>
      </c>
      <c r="H5" t="str">
        <v>IN PROGRESS</v>
      </c>
      <c r="J5" t="str">
        <v>BLOCKED</v>
      </c>
      <c r="L5" t="str">
        <v>OVERDUE</v>
      </c>
      <c r="M5" t="str">
        <v>IN REVIEW / TEST</v>
      </c>
      <c r="N5" t="str">
        <v>OPEN P0</v>
      </c>
      <c r="O5" t="str">
        <v>DEADLINE</v>
      </c>
      <c r="P5" t="str">
        <v>PHASE STATUS</v>
      </c>
    </row>
    <row r="6">
      <c r="A6">
        <f>IFERROR(SUMPRODUCT(('Master Tracker'!$B$6:$B$400="Phase 4")*'Master Tracker'!$U$6:$U$400)/COUNTIFS('Master Tracker'!$B$6:$B$400,"Phase 4",'Master Tracker'!$A$6:$A$400,"?*"),0)</f>
        <v>0</v>
      </c>
      <c r="D6">
        <f>IFERROR(SUMPRODUCT(('Master Tracker'!$B$6:$B$400="Phase 4")*'Master Tracker'!$V$6:$V$400)/COUNTIFS('Master Tracker'!$B$6:$B$400,"Phase 4",'Master Tracker'!$A$6:$A$400,"?*"),0)</f>
        <v>0</v>
      </c>
      <c r="E6">
        <f>COUNTIFS('Master Tracker'!$B$6:$B$400,"Phase 4",'Master Tracker'!$A$6:$A$400,"?*")</f>
        <v>12</v>
      </c>
      <c r="G6">
        <f>COUNTIFS('Master Tracker'!$B$6:$B$400,"Phase 4",'Master Tracker'!$G$6:$G$400,"Completed")</f>
        <v>0</v>
      </c>
      <c r="H6">
        <f>COUNTIFS('Master Tracker'!$B$6:$B$400,"Phase 4",'Master Tracker'!$G$6:$G$400,"In Progress")</f>
        <v>0</v>
      </c>
      <c r="J6">
        <f>COUNTIFS('Master Tracker'!$B$6:$B$400,"Phase 4",'Master Tracker'!$G$6:$G$400,"Blocked")</f>
        <v>0</v>
      </c>
      <c r="L6">
        <f>COUNTIFS('Master Tracker'!$B$6:$B$400,"Phase 4",'Master Tracker'!$X$6:$X$400,"OVERDUE")</f>
        <v>0</v>
      </c>
      <c r="M6">
        <f>COUNTIFS('Master Tracker'!$B$6:$B$400,"Phase 4",'Master Tracker'!$G$6:$G$400,"In Review")+COUNTIFS('Master Tracker'!$B$6:$B$400,"Phase 4",'Master Tracker'!$G$6:$G$400,"Testing")</f>
        <v>0</v>
      </c>
      <c r="N6">
        <f>COUNTIFS('Master Tracker'!$B$6:$B$400,"Phase 4",'Master Tracker'!$F$6:$F$400,"P0",'Master Tracker'!$G$6:$G$400,"&lt;&gt;Completed",'Master Tracker'!$A$6:$A$400,"?*")</f>
        <v>9</v>
      </c>
      <c r="O6">
        <f>MAXIFS('Master Tracker'!$I$6:$I$400,'Master Tracker'!$B$6:$B$400,"Phase 4")</f>
        <v>46317</v>
      </c>
      <c r="P6" t="str">
        <f>IF(E6=0,"—",IF(G6=E6,"Complete",IF(J6&gt;0,"Blocked",IF(L6&gt;0,"Behind",IF(A6+0.1&lt;D6,"Behind",IF(A6&gt;0,"On Track","Not Started"))))))</f>
        <v>Not Started</v>
      </c>
    </row>
    <row r="7">
      <c r="A7" t="str">
        <f>"Progress  "&amp;REPT("█",ROUND(A6*50,0))&amp;REPT("░",50-ROUND(A6*50,0))&amp;"  "&amp;TEXT(A6,"0%")&amp;"  (planned "&amp;TEXT(D6,"0%")&amp;")"</f>
        <v>Progress  ░░░░░░░░░░░░░░░░░░░░░░░░░░░░░░░░░░░░░░░░░░░░░░░░░░  0%  (planned 0%)</v>
      </c>
    </row>
    <row r="9">
      <c r="A9" t="str">
        <v xml:space="preserve">  PHASE GOAL</v>
      </c>
    </row>
    <row r="10">
      <c r="A10" t="str">
        <v>Create a magazine-issue engine (custom post type) and migrate all 48 historical issues with covers and PDFs into a filterable digital archive featuring a flipbook reader, secure PDF downloads and subscription-aware access restrictions.</v>
      </c>
    </row>
    <row r="12">
      <c r="A12" t="str">
        <v xml:space="preserve">  DELIVERABLES</v>
      </c>
      <c r="J12" t="str">
        <v xml:space="preserve">  REQUIRED WORDPRESS FILES</v>
      </c>
    </row>
    <row r="13">
      <c r="A13" t="str">
        <v>▸ magazine_issue CPT + fields (number, date, year, decade, PDF, access level)</v>
      </c>
      <c r="J13" t="str">
        <v>▸ inc/cpt-issues.php</v>
      </c>
    </row>
    <row r="14">
      <c r="A14" t="str">
        <v>▸ All 48 historical issues migrated with covers and PDFs</v>
      </c>
      <c r="J14" t="str">
        <v>▸ inc/issue-meta.php</v>
      </c>
    </row>
    <row r="15">
      <c r="A15" t="str">
        <v>▸ Issue archive with year and decade filtering</v>
      </c>
      <c r="J15" t="str">
        <v>▸ inc/issue-import.php</v>
      </c>
    </row>
    <row r="16">
      <c r="A16" t="str">
        <v>▸ Single issue page</v>
      </c>
      <c r="J16" t="str">
        <v>▸ archive-magazine_issue.php</v>
      </c>
    </row>
    <row r="17">
      <c r="A17" t="str">
        <v>▸ Flipbook reader with mobile fallback</v>
      </c>
      <c r="J17" t="str">
        <v>▸ single-magazine_issue.php</v>
      </c>
    </row>
    <row r="18">
      <c r="A18" t="str">
        <v>▸ Secure PDF downloads</v>
      </c>
      <c r="J18" t="str">
        <v>▸ template-parts/issue/*.php</v>
      </c>
    </row>
    <row r="19">
      <c r="A19" t="str">
        <v>▸ Access restrictions tied to subscription tiers</v>
      </c>
      <c r="J19" t="str">
        <v>▸ inc/pdf-download.php</v>
      </c>
    </row>
    <row r="20">
      <c r="J20" t="str">
        <v>▸ assets/js/modules/flipbook.js</v>
      </c>
    </row>
    <row r="21">
      <c r="J21" t="str">
        <v>▸ assets/vendor/pdfjs/*</v>
      </c>
    </row>
    <row r="22">
      <c r="J22" t="str">
        <v>▸ .htaccess (protected uploads rule)</v>
      </c>
    </row>
    <row r="24">
      <c r="A24" t="str">
        <v xml:space="preserve">  TECHNICAL IMPLEMENTATION STEPS</v>
      </c>
    </row>
    <row r="25">
      <c r="A25">
        <v>1</v>
      </c>
      <c r="B25" t="str">
        <v>Register CPT &amp; meta in inc/cpt-issues.php (REST enabled)</v>
      </c>
    </row>
    <row r="26">
      <c r="A26">
        <v>2</v>
      </c>
      <c r="B26" t="str">
        <v>Collect 48 PDFs + covers + manifest from client (started Day 1)</v>
      </c>
    </row>
    <row r="27">
      <c r="A27">
        <v>3</v>
      </c>
      <c r="B27" t="str">
        <v>Build CSV manifest and idempotent importer (WP-CLI or one-time admin tool)</v>
      </c>
    </row>
    <row r="28">
      <c r="A28">
        <v>4</v>
      </c>
      <c r="B28" t="str">
        <v>Optimize covers (WebP, sizes)</v>
      </c>
    </row>
    <row r="29">
      <c r="A29">
        <v>5</v>
      </c>
      <c r="B29" t="str">
        <v>Build archive-magazine_issue.php with year/decade filters</v>
      </c>
    </row>
    <row r="30">
      <c r="A30">
        <v>6</v>
      </c>
      <c r="B30" t="str">
        <v>Build single-magazine_issue.php</v>
      </c>
    </row>
    <row r="31">
      <c r="A31">
        <v>7</v>
      </c>
      <c r="B31" t="str">
        <v>Integrate self-hosted PDF.js flipbook, lazy-loaded</v>
      </c>
    </row>
    <row r="32">
      <c r="A32">
        <v>8</v>
      </c>
      <c r="B32" t="str">
        <v>Serve PDFs via authenticated endpoint; block direct /uploads access</v>
      </c>
    </row>
    <row r="33">
      <c r="A33">
        <v>9</v>
      </c>
      <c r="B33" t="str">
        <v>Wire access level to subscription tiers (P5-07)</v>
      </c>
    </row>
    <row r="34">
      <c r="A34">
        <v>10</v>
      </c>
      <c r="B34" t="str">
        <v>Verify 48/48 issues</v>
      </c>
    </row>
    <row r="36">
      <c r="A36" t="str">
        <v xml:space="preserve">  DETAILED TASK CHECKLIST   (live from Master Tracker — change Status / % there)</v>
      </c>
    </row>
    <row r="37">
      <c r="A37" t="str">
        <v>#</v>
      </c>
      <c r="B37" t="str">
        <v>Task ID</v>
      </c>
      <c r="C37" t="str">
        <v>Module</v>
      </c>
      <c r="D37" t="str">
        <v>Task</v>
      </c>
      <c r="E37" t="str">
        <v>Priority</v>
      </c>
      <c r="F37" t="str">
        <v>Status</v>
      </c>
      <c r="G37" t="str">
        <v>Start</v>
      </c>
      <c r="H37" t="str">
        <v>Due</v>
      </c>
      <c r="I37" t="str">
        <v>Complete</v>
      </c>
      <c r="J37" t="str">
        <v>Dependencies</v>
      </c>
      <c r="K37" t="str">
        <v>Dep. check</v>
      </c>
      <c r="L37" t="str">
        <v>WordPress files</v>
      </c>
      <c r="M37" t="str">
        <v>Acceptance criteria</v>
      </c>
      <c r="N37" t="str">
        <v>Testing checklist</v>
      </c>
      <c r="O37" t="str">
        <v>Test result</v>
      </c>
      <c r="P37" t="str">
        <v>Alert</v>
      </c>
    </row>
    <row r="38">
      <c r="A38">
        <v>1</v>
      </c>
      <c r="B38" t="str">
        <f>IF($S38="","",IF(INDEX('Master Tracker'!$A$6:$A$400,$S38)="","",INDEX('Master Tracker'!$A$6:$A$400,$S38)))</f>
        <v>P4-01</v>
      </c>
      <c r="C38" t="str">
        <f>IF($S38="","",IF(INDEX('Master Tracker'!$C$6:$C$400,$S38)="","",INDEX('Master Tracker'!$C$6:$C$400,$S38)))</f>
        <v>CPT Engine</v>
      </c>
      <c r="D38" t="str">
        <f>IF($S38="","",IF(INDEX('Master Tracker'!$D$6:$D$400,$S38)="","",INDEX('Master Tracker'!$D$6:$D$400,$S38)))</f>
        <v>Register magazine_issue custom post type</v>
      </c>
      <c r="E38" t="str">
        <f>IF($S38="","",IF(INDEX('Master Tracker'!$F$6:$F$400,$S38)="","",INDEX('Master Tracker'!$F$6:$F$400,$S38)))</f>
        <v>P0</v>
      </c>
      <c r="F38" t="str">
        <f>IF($S38="","",IF(INDEX('Master Tracker'!$G$6:$G$400,$S38)="","",INDEX('Master Tracker'!$G$6:$G$400,$S38)))</f>
        <v>Not Started</v>
      </c>
      <c r="G38">
        <f>IF($S38="","",IF(INDEX('Master Tracker'!$H$6:$H$400,$S38)="","",INDEX('Master Tracker'!$H$6:$H$400,$S38)))</f>
        <v>46316</v>
      </c>
      <c r="H38">
        <f>IF($S38="","",IF(INDEX('Master Tracker'!$I$6:$I$400,$S38)="","",INDEX('Master Tracker'!$I$6:$I$400,$S38)))</f>
        <v>46316</v>
      </c>
      <c r="I38">
        <f>IF($S38="","",IF(INDEX('Master Tracker'!$U$6:$U$400,$S38)="","",INDEX('Master Tracker'!$U$6:$U$400,$S38)))</f>
        <v>0</v>
      </c>
      <c r="J38" t="str">
        <f>IF($S38="","",IF(INDEX('Master Tracker'!$K$6:$K$400,$S38)="","",INDEX('Master Tracker'!$K$6:$K$400,$S38)))</f>
        <v>P1-17</v>
      </c>
      <c r="K38" t="str">
        <f>IF($S38="","",IF(INDEX('Master Tracker'!$Y$6:$Y$400,$S38)="","",INDEX('Master Tracker'!$Y$6:$Y$400,$S38)))</f>
        <v>⏳ 1 open</v>
      </c>
      <c r="L38" t="str">
        <f>IF($S38="","",IF(INDEX('Master Tracker'!$M$6:$M$400,$S38)="","",INDEX('Master Tracker'!$M$6:$M$400,$S38)))</f>
        <v>inc/cpt-issues.php</v>
      </c>
      <c r="M38" t="str">
        <f>IF($S38="","",IF(INDEX('Master Tracker'!$O$6:$O$400,$S38)="","",INDEX('Master Tracker'!$O$6:$O$400,$S38)))</f>
        <v>CPT live with clean URLs</v>
      </c>
      <c r="N38" t="str">
        <f>IF($S38="","",IF(INDEX('Master Tracker'!$N$6:$N$400,$S38)="","",INDEX('Master Tracker'!$N$6:$N$400,$S38)))</f>
        <v>Create test issue; check archive URL and REST response; flush permalinks</v>
      </c>
      <c r="O38" t="str">
        <f>IF($S38="","",IF(INDEX('Master Tracker'!$T$6:$T$400,$S38)="","",INDEX('Master Tracker'!$T$6:$T$400,$S38)))</f>
        <v>Not Tested</v>
      </c>
      <c r="P38" t="str">
        <f>IF($S38="","",IF(INDEX('Master Tracker'!$AC$6:$AC$400,$S38)="","",INDEX('Master Tracker'!$AC$6:$AC$400,$S38)))</f>
        <v>On track</v>
      </c>
      <c r="S38">
        <f>IFERROR(MATCH("Phase 4|"&amp;A38,'Master Tracker'!$Z$6:$Z$400,0),"")</f>
        <v>58</v>
      </c>
    </row>
    <row r="39">
      <c r="A39">
        <v>2</v>
      </c>
      <c r="B39" t="str">
        <f>IF($S39="","",IF(INDEX('Master Tracker'!$A$6:$A$400,$S39)="","",INDEX('Master Tracker'!$A$6:$A$400,$S39)))</f>
        <v>P4-02</v>
      </c>
      <c r="C39" t="str">
        <f>IF($S39="","",IF(INDEX('Master Tracker'!$C$6:$C$400,$S39)="","",INDEX('Master Tracker'!$C$6:$C$400,$S39)))</f>
        <v>CPT Engine</v>
      </c>
      <c r="D39" t="str">
        <f>IF($S39="","",IF(INDEX('Master Tracker'!$D$6:$D$400,$S39)="","",INDEX('Master Tracker'!$D$6:$D$400,$S39)))</f>
        <v>Issue fields: number, date, year, decade, PDF, access</v>
      </c>
      <c r="E39" t="str">
        <f>IF($S39="","",IF(INDEX('Master Tracker'!$F$6:$F$400,$S39)="","",INDEX('Master Tracker'!$F$6:$F$400,$S39)))</f>
        <v>P0</v>
      </c>
      <c r="F39" t="str">
        <f>IF($S39="","",IF(INDEX('Master Tracker'!$G$6:$G$400,$S39)="","",INDEX('Master Tracker'!$G$6:$G$400,$S39)))</f>
        <v>Not Started</v>
      </c>
      <c r="G39">
        <f>IF($S39="","",IF(INDEX('Master Tracker'!$H$6:$H$400,$S39)="","",INDEX('Master Tracker'!$H$6:$H$400,$S39)))</f>
        <v>46316</v>
      </c>
      <c r="H39">
        <f>IF($S39="","",IF(INDEX('Master Tracker'!$I$6:$I$400,$S39)="","",INDEX('Master Tracker'!$I$6:$I$400,$S39)))</f>
        <v>46316</v>
      </c>
      <c r="I39">
        <f>IF($S39="","",IF(INDEX('Master Tracker'!$U$6:$U$400,$S39)="","",INDEX('Master Tracker'!$U$6:$U$400,$S39)))</f>
        <v>0</v>
      </c>
      <c r="J39" t="str">
        <f>IF($S39="","",IF(INDEX('Master Tracker'!$K$6:$K$400,$S39)="","",INDEX('Master Tracker'!$K$6:$K$400,$S39)))</f>
        <v>P4-01</v>
      </c>
      <c r="K39" t="str">
        <f>IF($S39="","",IF(INDEX('Master Tracker'!$Y$6:$Y$400,$S39)="","",INDEX('Master Tracker'!$Y$6:$Y$400,$S39)))</f>
        <v>⏳ 1 open</v>
      </c>
      <c r="L39" t="str">
        <f>IF($S39="","",IF(INDEX('Master Tracker'!$M$6:$M$400,$S39)="","",INDEX('Master Tracker'!$M$6:$M$400,$S39)))</f>
        <v>inc/issue-meta.php</v>
      </c>
      <c r="M39" t="str">
        <f>IF($S39="","",IF(INDEX('Master Tracker'!$O$6:$O$400,$S39)="","",INDEX('Master Tracker'!$O$6:$O$400,$S39)))</f>
        <v>All issue metadata editable and validated</v>
      </c>
      <c r="N39" t="str">
        <f>IF($S39="","",IF(INDEX('Master Tracker'!$N$6:$N$400,$S39)="","",INDEX('Master Tracker'!$N$6:$N$400,$S39)))</f>
        <v>Save issue; decade auto-calculates; invalid values rejected</v>
      </c>
      <c r="O39" t="str">
        <f>IF($S39="","",IF(INDEX('Master Tracker'!$T$6:$T$400,$S39)="","",INDEX('Master Tracker'!$T$6:$T$400,$S39)))</f>
        <v>Not Tested</v>
      </c>
      <c r="P39" t="str">
        <f>IF($S39="","",IF(INDEX('Master Tracker'!$AC$6:$AC$400,$S39)="","",INDEX('Master Tracker'!$AC$6:$AC$400,$S39)))</f>
        <v>On track</v>
      </c>
      <c r="S39">
        <f>IFERROR(MATCH("Phase 4|"&amp;A39,'Master Tracker'!$Z$6:$Z$400,0),"")</f>
        <v>59</v>
      </c>
    </row>
    <row r="40">
      <c r="A40">
        <v>3</v>
      </c>
      <c r="B40" t="str">
        <f>IF($S40="","",IF(INDEX('Master Tracker'!$A$6:$A$400,$S40)="","",INDEX('Master Tracker'!$A$6:$A$400,$S40)))</f>
        <v>P4-03</v>
      </c>
      <c r="C40" t="str">
        <f>IF($S40="","",IF(INDEX('Master Tracker'!$C$6:$C$400,$S40)="","",INDEX('Master Tracker'!$C$6:$C$400,$S40)))</f>
        <v>Historical Assets</v>
      </c>
      <c r="D40" t="str">
        <f>IF($S40="","",IF(INDEX('Master Tracker'!$D$6:$D$400,$S40)="","",INDEX('Master Tracker'!$D$6:$D$400,$S40)))</f>
        <v>Collect 48 historical issue PDFs, covers &amp; manifest</v>
      </c>
      <c r="E40" t="str">
        <f>IF($S40="","",IF(INDEX('Master Tracker'!$F$6:$F$400,$S40)="","",INDEX('Master Tracker'!$F$6:$F$400,$S40)))</f>
        <v>P0</v>
      </c>
      <c r="F40" t="str">
        <f>IF($S40="","",IF(INDEX('Master Tracker'!$G$6:$G$400,$S40)="","",INDEX('Master Tracker'!$G$6:$G$400,$S40)))</f>
        <v>Not Started</v>
      </c>
      <c r="G40">
        <f>IF($S40="","",IF(INDEX('Master Tracker'!$H$6:$H$400,$S40)="","",INDEX('Master Tracker'!$H$6:$H$400,$S40)))</f>
        <v>46307</v>
      </c>
      <c r="H40">
        <f>IF($S40="","",IF(INDEX('Master Tracker'!$I$6:$I$400,$S40)="","",INDEX('Master Tracker'!$I$6:$I$400,$S40)))</f>
        <v>46315</v>
      </c>
      <c r="I40">
        <f>IF($S40="","",IF(INDEX('Master Tracker'!$U$6:$U$400,$S40)="","",INDEX('Master Tracker'!$U$6:$U$400,$S40)))</f>
        <v>0</v>
      </c>
      <c r="J40" t="str">
        <f>IF($S40="","",IF(INDEX('Master Tracker'!$K$6:$K$400,$S40)="","",INDEX('Master Tracker'!$K$6:$K$400,$S40)))</f>
        <v/>
      </c>
      <c r="K40" t="str">
        <f>IF($S40="","",IF(INDEX('Master Tracker'!$Y$6:$Y$400,$S40)="","",INDEX('Master Tracker'!$Y$6:$Y$400,$S40)))</f>
        <v/>
      </c>
      <c r="L40" t="str">
        <f>IF($S40="","",IF(INDEX('Master Tracker'!$M$6:$M$400,$S40)="","",INDEX('Master Tracker'!$M$6:$M$400,$S40)))</f>
        <v>url: shared drive</v>
      </c>
      <c r="M40" t="str">
        <f>IF($S40="","",IF(INDEX('Master Tracker'!$O$6:$O$400,$S40)="","",INDEX('Master Tracker'!$O$6:$O$400,$S40)))</f>
        <v>All historical assets received and checked</v>
      </c>
      <c r="N40" t="str">
        <f>IF($S40="","",IF(INDEX('Master Tracker'!$N$6:$N$400,$S40)="","",INDEX('Master Tracker'!$N$6:$N$400,$S40)))</f>
        <v>Count received files = 48 PDFs + 48 covers; manifest complete</v>
      </c>
      <c r="O40" t="str">
        <f>IF($S40="","",IF(INDEX('Master Tracker'!$T$6:$T$400,$S40)="","",INDEX('Master Tracker'!$T$6:$T$400,$S40)))</f>
        <v>Not Tested</v>
      </c>
      <c r="P40" t="str">
        <f>IF($S40="","",IF(INDEX('Master Tracker'!$AC$6:$AC$400,$S40)="","",INDEX('Master Tracker'!$AC$6:$AC$400,$S40)))</f>
        <v>External req.</v>
      </c>
      <c r="S40">
        <f>IFERROR(MATCH("Phase 4|"&amp;A40,'Master Tracker'!$Z$6:$Z$400,0),"")</f>
        <v>60</v>
      </c>
    </row>
    <row r="41">
      <c r="A41">
        <v>4</v>
      </c>
      <c r="B41" t="str">
        <f>IF($S41="","",IF(INDEX('Master Tracker'!$A$6:$A$400,$S41)="","",INDEX('Master Tracker'!$A$6:$A$400,$S41)))</f>
        <v>P4-04</v>
      </c>
      <c r="C41" t="str">
        <f>IF($S41="","",IF(INDEX('Master Tracker'!$C$6:$C$400,$S41)="","",INDEX('Master Tracker'!$C$6:$C$400,$S41)))</f>
        <v>Migration</v>
      </c>
      <c r="D41" t="str">
        <f>IF($S41="","",IF(INDEX('Master Tracker'!$D$6:$D$400,$S41)="","",INDEX('Master Tracker'!$D$6:$D$400,$S41)))</f>
        <v>Historical issue migration (import 48 issues)</v>
      </c>
      <c r="E41" t="str">
        <f>IF($S41="","",IF(INDEX('Master Tracker'!$F$6:$F$400,$S41)="","",INDEX('Master Tracker'!$F$6:$F$400,$S41)))</f>
        <v>P0</v>
      </c>
      <c r="F41" t="str">
        <f>IF($S41="","",IF(INDEX('Master Tracker'!$G$6:$G$400,$S41)="","",INDEX('Master Tracker'!$G$6:$G$400,$S41)))</f>
        <v>Not Started</v>
      </c>
      <c r="G41">
        <f>IF($S41="","",IF(INDEX('Master Tracker'!$H$6:$H$400,$S41)="","",INDEX('Master Tracker'!$H$6:$H$400,$S41)))</f>
        <v>46316</v>
      </c>
      <c r="H41">
        <f>IF($S41="","",IF(INDEX('Master Tracker'!$I$6:$I$400,$S41)="","",INDEX('Master Tracker'!$I$6:$I$400,$S41)))</f>
        <v>46316</v>
      </c>
      <c r="I41">
        <f>IF($S41="","",IF(INDEX('Master Tracker'!$U$6:$U$400,$S41)="","",INDEX('Master Tracker'!$U$6:$U$400,$S41)))</f>
        <v>0</v>
      </c>
      <c r="J41" t="str">
        <f>IF($S41="","",IF(INDEX('Master Tracker'!$K$6:$K$400,$S41)="","",INDEX('Master Tracker'!$K$6:$K$400,$S41)))</f>
        <v>P4-02, P4-03</v>
      </c>
      <c r="K41" t="str">
        <f>IF($S41="","",IF(INDEX('Master Tracker'!$Y$6:$Y$400,$S41)="","",INDEX('Master Tracker'!$Y$6:$Y$400,$S41)))</f>
        <v>⏳ 2 open</v>
      </c>
      <c r="L41" t="str">
        <f>IF($S41="","",IF(INDEX('Master Tracker'!$M$6:$M$400,$S41)="","",INDEX('Master Tracker'!$M$6:$M$400,$S41)))</f>
        <v>inc/issue-import.php, issues-manifest.csv</v>
      </c>
      <c r="M41" t="str">
        <f>IF($S41="","",IF(INDEX('Master Tracker'!$O$6:$O$400,$S41)="","",INDEX('Master Tracker'!$O$6:$O$400,$S41)))</f>
        <v>All 48 issues imported with correct metadata, covers and PDFs</v>
      </c>
      <c r="N41" t="str">
        <f>IF($S41="","",IF(INDEX('Master Tracker'!$N$6:$N$400,$S41)="","",INDEX('Master Tracker'!$N$6:$N$400,$S41)))</f>
        <v>Run import twice; still 48 issues; spot-check 10</v>
      </c>
      <c r="O41" t="str">
        <f>IF($S41="","",IF(INDEX('Master Tracker'!$T$6:$T$400,$S41)="","",INDEX('Master Tracker'!$T$6:$T$400,$S41)))</f>
        <v>Not Tested</v>
      </c>
      <c r="P41" t="str">
        <f>IF($S41="","",IF(INDEX('Master Tracker'!$AC$6:$AC$400,$S41)="","",INDEX('Master Tracker'!$AC$6:$AC$400,$S41)))</f>
        <v>External req.</v>
      </c>
      <c r="S41">
        <f>IFERROR(MATCH("Phase 4|"&amp;A41,'Master Tracker'!$Z$6:$Z$400,0),"")</f>
        <v>61</v>
      </c>
    </row>
    <row r="42">
      <c r="A42">
        <v>5</v>
      </c>
      <c r="B42" t="str">
        <f>IF($S42="","",IF(INDEX('Master Tracker'!$A$6:$A$400,$S42)="","",INDEX('Master Tracker'!$A$6:$A$400,$S42)))</f>
        <v>P4-05</v>
      </c>
      <c r="C42" t="str">
        <f>IF($S42="","",IF(INDEX('Master Tracker'!$C$6:$C$400,$S42)="","",INDEX('Master Tracker'!$C$6:$C$400,$S42)))</f>
        <v>Cover Images</v>
      </c>
      <c r="D42" t="str">
        <f>IF($S42="","",IF(INDEX('Master Tracker'!$D$6:$D$400,$S42)="","",INDEX('Master Tracker'!$D$6:$D$400,$S42)))</f>
        <v>Cover image optimization</v>
      </c>
      <c r="E42" t="str">
        <f>IF($S42="","",IF(INDEX('Master Tracker'!$F$6:$F$400,$S42)="","",INDEX('Master Tracker'!$F$6:$F$400,$S42)))</f>
        <v>P1</v>
      </c>
      <c r="F42" t="str">
        <f>IF($S42="","",IF(INDEX('Master Tracker'!$G$6:$G$400,$S42)="","",INDEX('Master Tracker'!$G$6:$G$400,$S42)))</f>
        <v>Not Started</v>
      </c>
      <c r="G42">
        <f>IF($S42="","",IF(INDEX('Master Tracker'!$H$6:$H$400,$S42)="","",INDEX('Master Tracker'!$H$6:$H$400,$S42)))</f>
        <v>46316</v>
      </c>
      <c r="H42">
        <f>IF($S42="","",IF(INDEX('Master Tracker'!$I$6:$I$400,$S42)="","",INDEX('Master Tracker'!$I$6:$I$400,$S42)))</f>
        <v>46316</v>
      </c>
      <c r="I42">
        <f>IF($S42="","",IF(INDEX('Master Tracker'!$U$6:$U$400,$S42)="","",INDEX('Master Tracker'!$U$6:$U$400,$S42)))</f>
        <v>0</v>
      </c>
      <c r="J42" t="str">
        <f>IF($S42="","",IF(INDEX('Master Tracker'!$K$6:$K$400,$S42)="","",INDEX('Master Tracker'!$K$6:$K$400,$S42)))</f>
        <v>P4-04</v>
      </c>
      <c r="K42" t="str">
        <f>IF($S42="","",IF(INDEX('Master Tracker'!$Y$6:$Y$400,$S42)="","",INDEX('Master Tracker'!$Y$6:$Y$400,$S42)))</f>
        <v>⏳ 1 open</v>
      </c>
      <c r="L42" t="str">
        <f>IF($S42="","",IF(INDEX('Master Tracker'!$M$6:$M$400,$S42)="","",INDEX('Master Tracker'!$M$6:$M$400,$S42)))</f>
        <v>inc/media.php</v>
      </c>
      <c r="M42" t="str">
        <f>IF($S42="","",IF(INDEX('Master Tracker'!$O$6:$O$400,$S42)="","",INDEX('Master Tracker'!$O$6:$O$400,$S42)))</f>
        <v>Covers sharp and lightweight</v>
      </c>
      <c r="N42" t="str">
        <f>IF($S42="","",IF(INDEX('Master Tracker'!$N$6:$N$400,$S42)="","",INDEX('Master Tracker'!$N$6:$N$400,$S42)))</f>
        <v>Check archive weight and image dimensions</v>
      </c>
      <c r="O42" t="str">
        <f>IF($S42="","",IF(INDEX('Master Tracker'!$T$6:$T$400,$S42)="","",INDEX('Master Tracker'!$T$6:$T$400,$S42)))</f>
        <v>Not Tested</v>
      </c>
      <c r="P42" t="str">
        <f>IF($S42="","",IF(INDEX('Master Tracker'!$AC$6:$AC$400,$S42)="","",INDEX('Master Tracker'!$AC$6:$AC$400,$S42)))</f>
        <v>On track</v>
      </c>
      <c r="S42">
        <f>IFERROR(MATCH("Phase 4|"&amp;A42,'Master Tracker'!$Z$6:$Z$400,0),"")</f>
        <v>62</v>
      </c>
    </row>
    <row r="43">
      <c r="A43">
        <v>6</v>
      </c>
      <c r="B43" t="str">
        <f>IF($S43="","",IF(INDEX('Master Tracker'!$A$6:$A$400,$S43)="","",INDEX('Master Tracker'!$A$6:$A$400,$S43)))</f>
        <v>P4-06</v>
      </c>
      <c r="C43" t="str">
        <f>IF($S43="","",IF(INDEX('Master Tracker'!$C$6:$C$400,$S43)="","",INDEX('Master Tracker'!$C$6:$C$400,$S43)))</f>
        <v>Issue Archive</v>
      </c>
      <c r="D43" t="str">
        <f>IF($S43="","",IF(INDEX('Master Tracker'!$D$6:$D$400,$S43)="","",INDEX('Master Tracker'!$D$6:$D$400,$S43)))</f>
        <v>Issue archive template</v>
      </c>
      <c r="E43" t="str">
        <f>IF($S43="","",IF(INDEX('Master Tracker'!$F$6:$F$400,$S43)="","",INDEX('Master Tracker'!$F$6:$F$400,$S43)))</f>
        <v>P0</v>
      </c>
      <c r="F43" t="str">
        <f>IF($S43="","",IF(INDEX('Master Tracker'!$G$6:$G$400,$S43)="","",INDEX('Master Tracker'!$G$6:$G$400,$S43)))</f>
        <v>Not Started</v>
      </c>
      <c r="G43">
        <f>IF($S43="","",IF(INDEX('Master Tracker'!$H$6:$H$400,$S43)="","",INDEX('Master Tracker'!$H$6:$H$400,$S43)))</f>
        <v>46316</v>
      </c>
      <c r="H43">
        <f>IF($S43="","",IF(INDEX('Master Tracker'!$I$6:$I$400,$S43)="","",INDEX('Master Tracker'!$I$6:$I$400,$S43)))</f>
        <v>46316</v>
      </c>
      <c r="I43">
        <f>IF($S43="","",IF(INDEX('Master Tracker'!$U$6:$U$400,$S43)="","",INDEX('Master Tracker'!$U$6:$U$400,$S43)))</f>
        <v>0</v>
      </c>
      <c r="J43" t="str">
        <f>IF($S43="","",IF(INDEX('Master Tracker'!$K$6:$K$400,$S43)="","",INDEX('Master Tracker'!$K$6:$K$400,$S43)))</f>
        <v>P4-01</v>
      </c>
      <c r="K43" t="str">
        <f>IF($S43="","",IF(INDEX('Master Tracker'!$Y$6:$Y$400,$S43)="","",INDEX('Master Tracker'!$Y$6:$Y$400,$S43)))</f>
        <v>⏳ 1 open</v>
      </c>
      <c r="L43" t="str">
        <f>IF($S43="","",IF(INDEX('Master Tracker'!$M$6:$M$400,$S43)="","",INDEX('Master Tracker'!$M$6:$M$400,$S43)))</f>
        <v>archive-magazine_issue.php, template-parts/issue/card.php</v>
      </c>
      <c r="M43" t="str">
        <f>IF($S43="","",IF(INDEX('Master Tracker'!$O$6:$O$400,$S43)="","",INDEX('Master Tracker'!$O$6:$O$400,$S43)))</f>
        <v>Archive lists all issues correctly</v>
      </c>
      <c r="N43" t="str">
        <f>IF($S43="","",IF(INDEX('Master Tracker'!$N$6:$N$400,$S43)="","",INDEX('Master Tracker'!$N$6:$N$400,$S43)))</f>
        <v>Open archive; check ordering and pagination</v>
      </c>
      <c r="O43" t="str">
        <f>IF($S43="","",IF(INDEX('Master Tracker'!$T$6:$T$400,$S43)="","",INDEX('Master Tracker'!$T$6:$T$400,$S43)))</f>
        <v>Not Tested</v>
      </c>
      <c r="P43" t="str">
        <f>IF($S43="","",IF(INDEX('Master Tracker'!$AC$6:$AC$400,$S43)="","",INDEX('Master Tracker'!$AC$6:$AC$400,$S43)))</f>
        <v>On track</v>
      </c>
      <c r="S43">
        <f>IFERROR(MATCH("Phase 4|"&amp;A43,'Master Tracker'!$Z$6:$Z$400,0),"")</f>
        <v>63</v>
      </c>
    </row>
    <row r="44">
      <c r="A44">
        <v>7</v>
      </c>
      <c r="B44" t="str">
        <f>IF($S44="","",IF(INDEX('Master Tracker'!$A$6:$A$400,$S44)="","",INDEX('Master Tracker'!$A$6:$A$400,$S44)))</f>
        <v>P4-07</v>
      </c>
      <c r="C44" t="str">
        <f>IF($S44="","",IF(INDEX('Master Tracker'!$C$6:$C$400,$S44)="","",INDEX('Master Tracker'!$C$6:$C$400,$S44)))</f>
        <v>Issue Archive</v>
      </c>
      <c r="D44" t="str">
        <f>IF($S44="","",IF(INDEX('Master Tracker'!$D$6:$D$400,$S44)="","",INDEX('Master Tracker'!$D$6:$D$400,$S44)))</f>
        <v>Year &amp; decade filtering</v>
      </c>
      <c r="E44" t="str">
        <f>IF($S44="","",IF(INDEX('Master Tracker'!$F$6:$F$400,$S44)="","",INDEX('Master Tracker'!$F$6:$F$400,$S44)))</f>
        <v>P1</v>
      </c>
      <c r="F44" t="str">
        <f>IF($S44="","",IF(INDEX('Master Tracker'!$G$6:$G$400,$S44)="","",INDEX('Master Tracker'!$G$6:$G$400,$S44)))</f>
        <v>Not Started</v>
      </c>
      <c r="G44">
        <f>IF($S44="","",IF(INDEX('Master Tracker'!$H$6:$H$400,$S44)="","",INDEX('Master Tracker'!$H$6:$H$400,$S44)))</f>
        <v>46316</v>
      </c>
      <c r="H44">
        <f>IF($S44="","",IF(INDEX('Master Tracker'!$I$6:$I$400,$S44)="","",INDEX('Master Tracker'!$I$6:$I$400,$S44)))</f>
        <v>46316</v>
      </c>
      <c r="I44">
        <f>IF($S44="","",IF(INDEX('Master Tracker'!$U$6:$U$400,$S44)="","",INDEX('Master Tracker'!$U$6:$U$400,$S44)))</f>
        <v>0</v>
      </c>
      <c r="J44" t="str">
        <f>IF($S44="","",IF(INDEX('Master Tracker'!$K$6:$K$400,$S44)="","",INDEX('Master Tracker'!$K$6:$K$400,$S44)))</f>
        <v>P4-06</v>
      </c>
      <c r="K44" t="str">
        <f>IF($S44="","",IF(INDEX('Master Tracker'!$Y$6:$Y$400,$S44)="","",INDEX('Master Tracker'!$Y$6:$Y$400,$S44)))</f>
        <v>⏳ 1 open</v>
      </c>
      <c r="L44" t="str">
        <f>IF($S44="","",IF(INDEX('Master Tracker'!$M$6:$M$400,$S44)="","",INDEX('Master Tracker'!$M$6:$M$400,$S44)))</f>
        <v>archive-magazine_issue.php, assets/js/modules/issue-filter.js</v>
      </c>
      <c r="M44" t="str">
        <f>IF($S44="","",IF(INDEX('Master Tracker'!$O$6:$O$400,$S44)="","",INDEX('Master Tracker'!$O$6:$O$400,$S44)))</f>
        <v>Filters return correct issues</v>
      </c>
      <c r="N44" t="str">
        <f>IF($S44="","",IF(INDEX('Master Tracker'!$N$6:$N$400,$S44)="","",INDEX('Master Tracker'!$N$6:$N$400,$S44)))</f>
        <v>Filter each decade/year; counts match manifest</v>
      </c>
      <c r="O44" t="str">
        <f>IF($S44="","",IF(INDEX('Master Tracker'!$T$6:$T$400,$S44)="","",INDEX('Master Tracker'!$T$6:$T$400,$S44)))</f>
        <v>Not Tested</v>
      </c>
      <c r="P44" t="str">
        <f>IF($S44="","",IF(INDEX('Master Tracker'!$AC$6:$AC$400,$S44)="","",INDEX('Master Tracker'!$AC$6:$AC$400,$S44)))</f>
        <v>On track</v>
      </c>
      <c r="S44">
        <f>IFERROR(MATCH("Phase 4|"&amp;A44,'Master Tracker'!$Z$6:$Z$400,0),"")</f>
        <v>64</v>
      </c>
    </row>
    <row r="45">
      <c r="A45">
        <v>8</v>
      </c>
      <c r="B45" t="str">
        <f>IF($S45="","",IF(INDEX('Master Tracker'!$A$6:$A$400,$S45)="","",INDEX('Master Tracker'!$A$6:$A$400,$S45)))</f>
        <v>P4-08</v>
      </c>
      <c r="C45" t="str">
        <f>IF($S45="","",IF(INDEX('Master Tracker'!$C$6:$C$400,$S45)="","",INDEX('Master Tracker'!$C$6:$C$400,$S45)))</f>
        <v>Single Issue</v>
      </c>
      <c r="D45" t="str">
        <f>IF($S45="","",IF(INDEX('Master Tracker'!$D$6:$D$400,$S45)="","",INDEX('Master Tracker'!$D$6:$D$400,$S45)))</f>
        <v>Single issue page</v>
      </c>
      <c r="E45" t="str">
        <f>IF($S45="","",IF(INDEX('Master Tracker'!$F$6:$F$400,$S45)="","",INDEX('Master Tracker'!$F$6:$F$400,$S45)))</f>
        <v>P0</v>
      </c>
      <c r="F45" t="str">
        <f>IF($S45="","",IF(INDEX('Master Tracker'!$G$6:$G$400,$S45)="","",INDEX('Master Tracker'!$G$6:$G$400,$S45)))</f>
        <v>Not Started</v>
      </c>
      <c r="G45">
        <f>IF($S45="","",IF(INDEX('Master Tracker'!$H$6:$H$400,$S45)="","",INDEX('Master Tracker'!$H$6:$H$400,$S45)))</f>
        <v>46317</v>
      </c>
      <c r="H45">
        <f>IF($S45="","",IF(INDEX('Master Tracker'!$I$6:$I$400,$S45)="","",INDEX('Master Tracker'!$I$6:$I$400,$S45)))</f>
        <v>46317</v>
      </c>
      <c r="I45">
        <f>IF($S45="","",IF(INDEX('Master Tracker'!$U$6:$U$400,$S45)="","",INDEX('Master Tracker'!$U$6:$U$400,$S45)))</f>
        <v>0</v>
      </c>
      <c r="J45" t="str">
        <f>IF($S45="","",IF(INDEX('Master Tracker'!$K$6:$K$400,$S45)="","",INDEX('Master Tracker'!$K$6:$K$400,$S45)))</f>
        <v>P4-02</v>
      </c>
      <c r="K45" t="str">
        <f>IF($S45="","",IF(INDEX('Master Tracker'!$Y$6:$Y$400,$S45)="","",INDEX('Master Tracker'!$Y$6:$Y$400,$S45)))</f>
        <v>⏳ 1 open</v>
      </c>
      <c r="L45" t="str">
        <f>IF($S45="","",IF(INDEX('Master Tracker'!$M$6:$M$400,$S45)="","",INDEX('Master Tracker'!$M$6:$M$400,$S45)))</f>
        <v>single-magazine_issue.php</v>
      </c>
      <c r="M45" t="str">
        <f>IF($S45="","",IF(INDEX('Master Tracker'!$O$6:$O$400,$S45)="","",INDEX('Master Tracker'!$O$6:$O$400,$S45)))</f>
        <v>Single issue page complete for every issue</v>
      </c>
      <c r="N45" t="str">
        <f>IF($S45="","",IF(INDEX('Master Tracker'!$N$6:$N$400,$S45)="","",INDEX('Master Tracker'!$N$6:$N$400,$S45)))</f>
        <v>Open 5 issues incl. oldest and newest</v>
      </c>
      <c r="O45" t="str">
        <f>IF($S45="","",IF(INDEX('Master Tracker'!$T$6:$T$400,$S45)="","",INDEX('Master Tracker'!$T$6:$T$400,$S45)))</f>
        <v>Not Tested</v>
      </c>
      <c r="P45" t="str">
        <f>IF($S45="","",IF(INDEX('Master Tracker'!$AC$6:$AC$400,$S45)="","",INDEX('Master Tracker'!$AC$6:$AC$400,$S45)))</f>
        <v>On track</v>
      </c>
      <c r="S45">
        <f>IFERROR(MATCH("Phase 4|"&amp;A45,'Master Tracker'!$Z$6:$Z$400,0),"")</f>
        <v>65</v>
      </c>
    </row>
    <row r="46">
      <c r="A46">
        <v>9</v>
      </c>
      <c r="B46" t="str">
        <f>IF($S46="","",IF(INDEX('Master Tracker'!$A$6:$A$400,$S46)="","",INDEX('Master Tracker'!$A$6:$A$400,$S46)))</f>
        <v>P4-09</v>
      </c>
      <c r="C46" t="str">
        <f>IF($S46="","",IF(INDEX('Master Tracker'!$C$6:$C$400,$S46)="","",INDEX('Master Tracker'!$C$6:$C$400,$S46)))</f>
        <v>Flipbook</v>
      </c>
      <c r="D46" t="str">
        <f>IF($S46="","",IF(INDEX('Master Tracker'!$D$6:$D$400,$S46)="","",INDEX('Master Tracker'!$D$6:$D$400,$S46)))</f>
        <v>Flipbook reader</v>
      </c>
      <c r="E46" t="str">
        <f>IF($S46="","",IF(INDEX('Master Tracker'!$F$6:$F$400,$S46)="","",INDEX('Master Tracker'!$F$6:$F$400,$S46)))</f>
        <v>P1</v>
      </c>
      <c r="F46" t="str">
        <f>IF($S46="","",IF(INDEX('Master Tracker'!$G$6:$G$400,$S46)="","",INDEX('Master Tracker'!$G$6:$G$400,$S46)))</f>
        <v>Not Started</v>
      </c>
      <c r="G46">
        <f>IF($S46="","",IF(INDEX('Master Tracker'!$H$6:$H$400,$S46)="","",INDEX('Master Tracker'!$H$6:$H$400,$S46)))</f>
        <v>46317</v>
      </c>
      <c r="H46">
        <f>IF($S46="","",IF(INDEX('Master Tracker'!$I$6:$I$400,$S46)="","",INDEX('Master Tracker'!$I$6:$I$400,$S46)))</f>
        <v>46317</v>
      </c>
      <c r="I46">
        <f>IF($S46="","",IF(INDEX('Master Tracker'!$U$6:$U$400,$S46)="","",INDEX('Master Tracker'!$U$6:$U$400,$S46)))</f>
        <v>0</v>
      </c>
      <c r="J46" t="str">
        <f>IF($S46="","",IF(INDEX('Master Tracker'!$K$6:$K$400,$S46)="","",INDEX('Master Tracker'!$K$6:$K$400,$S46)))</f>
        <v>P4-08</v>
      </c>
      <c r="K46" t="str">
        <f>IF($S46="","",IF(INDEX('Master Tracker'!$Y$6:$Y$400,$S46)="","",INDEX('Master Tracker'!$Y$6:$Y$400,$S46)))</f>
        <v>⏳ 1 open</v>
      </c>
      <c r="L46" t="str">
        <f>IF($S46="","",IF(INDEX('Master Tracker'!$M$6:$M$400,$S46)="","",INDEX('Master Tracker'!$M$6:$M$400,$S46)))</f>
        <v>assets/js/modules/flipbook.js, assets/vendor/pdfjs/*</v>
      </c>
      <c r="M46" t="str">
        <f>IF($S46="","",IF(INDEX('Master Tracker'!$O$6:$O$400,$S46)="","",INDEX('Master Tracker'!$O$6:$O$400,$S46)))</f>
        <v>Readable flipbook on desktop &amp; mobile without blocking page load</v>
      </c>
      <c r="N46" t="str">
        <f>IF($S46="","",IF(INDEX('Master Tracker'!$N$6:$N$400,$S46)="","",INDEX('Master Tracker'!$N$6:$N$400,$S46)))</f>
        <v>Open large PDF on mobile &amp; desktop; measure load time</v>
      </c>
      <c r="O46" t="str">
        <f>IF($S46="","",IF(INDEX('Master Tracker'!$T$6:$T$400,$S46)="","",INDEX('Master Tracker'!$T$6:$T$400,$S46)))</f>
        <v>Not Tested</v>
      </c>
      <c r="P46" t="str">
        <f>IF($S46="","",IF(INDEX('Master Tracker'!$AC$6:$AC$400,$S46)="","",INDEX('Master Tracker'!$AC$6:$AC$400,$S46)))</f>
        <v>On track</v>
      </c>
      <c r="S46">
        <f>IFERROR(MATCH("Phase 4|"&amp;A46,'Master Tracker'!$Z$6:$Z$400,0),"")</f>
        <v>66</v>
      </c>
    </row>
    <row r="47">
      <c r="A47">
        <v>10</v>
      </c>
      <c r="B47" t="str">
        <f>IF($S47="","",IF(INDEX('Master Tracker'!$A$6:$A$400,$S47)="","",INDEX('Master Tracker'!$A$6:$A$400,$S47)))</f>
        <v>P4-10</v>
      </c>
      <c r="C47" t="str">
        <f>IF($S47="","",IF(INDEX('Master Tracker'!$C$6:$C$400,$S47)="","",INDEX('Master Tracker'!$C$6:$C$400,$S47)))</f>
        <v>PDF Downloads</v>
      </c>
      <c r="D47" t="str">
        <f>IF($S47="","",IF(INDEX('Master Tracker'!$D$6:$D$400,$S47)="","",INDEX('Master Tracker'!$D$6:$D$400,$S47)))</f>
        <v>Secure PDF downloads</v>
      </c>
      <c r="E47" t="str">
        <f>IF($S47="","",IF(INDEX('Master Tracker'!$F$6:$F$400,$S47)="","",INDEX('Master Tracker'!$F$6:$F$400,$S47)))</f>
        <v>P0</v>
      </c>
      <c r="F47" t="str">
        <f>IF($S47="","",IF(INDEX('Master Tracker'!$G$6:$G$400,$S47)="","",INDEX('Master Tracker'!$G$6:$G$400,$S47)))</f>
        <v>Not Started</v>
      </c>
      <c r="G47">
        <f>IF($S47="","",IF(INDEX('Master Tracker'!$H$6:$H$400,$S47)="","",INDEX('Master Tracker'!$H$6:$H$400,$S47)))</f>
        <v>46317</v>
      </c>
      <c r="H47">
        <f>IF($S47="","",IF(INDEX('Master Tracker'!$I$6:$I$400,$S47)="","",INDEX('Master Tracker'!$I$6:$I$400,$S47)))</f>
        <v>46317</v>
      </c>
      <c r="I47">
        <f>IF($S47="","",IF(INDEX('Master Tracker'!$U$6:$U$400,$S47)="","",INDEX('Master Tracker'!$U$6:$U$400,$S47)))</f>
        <v>0</v>
      </c>
      <c r="J47" t="str">
        <f>IF($S47="","",IF(INDEX('Master Tracker'!$K$6:$K$400,$S47)="","",INDEX('Master Tracker'!$K$6:$K$400,$S47)))</f>
        <v>P4-08</v>
      </c>
      <c r="K47" t="str">
        <f>IF($S47="","",IF(INDEX('Master Tracker'!$Y$6:$Y$400,$S47)="","",INDEX('Master Tracker'!$Y$6:$Y$400,$S47)))</f>
        <v>⏳ 1 open</v>
      </c>
      <c r="L47" t="str">
        <f>IF($S47="","",IF(INDEX('Master Tracker'!$M$6:$M$400,$S47)="","",INDEX('Master Tracker'!$M$6:$M$400,$S47)))</f>
        <v>inc/pdf-download.php</v>
      </c>
      <c r="M47" t="str">
        <f>IF($S47="","",IF(INDEX('Master Tracker'!$O$6:$O$400,$S47)="","",INDEX('Master Tracker'!$O$6:$O$400,$S47)))</f>
        <v>Downloads work and respect access rules</v>
      </c>
      <c r="N47" t="str">
        <f>IF($S47="","",IF(INDEX('Master Tracker'!$N$6:$N$400,$S47)="","",INDEX('Master Tracker'!$N$6:$N$400,$S47)))</f>
        <v>Download as guest/member/subscriber; check headers</v>
      </c>
      <c r="O47" t="str">
        <f>IF($S47="","",IF(INDEX('Master Tracker'!$T$6:$T$400,$S47)="","",INDEX('Master Tracker'!$T$6:$T$400,$S47)))</f>
        <v>Not Tested</v>
      </c>
      <c r="P47" t="str">
        <f>IF($S47="","",IF(INDEX('Master Tracker'!$AC$6:$AC$400,$S47)="","",INDEX('Master Tracker'!$AC$6:$AC$400,$S47)))</f>
        <v>On track</v>
      </c>
      <c r="S47">
        <f>IFERROR(MATCH("Phase 4|"&amp;A47,'Master Tracker'!$Z$6:$Z$400,0),"")</f>
        <v>67</v>
      </c>
    </row>
    <row r="48">
      <c r="A48">
        <v>11</v>
      </c>
      <c r="B48" t="str">
        <f>IF($S48="","",IF(INDEX('Master Tracker'!$A$6:$A$400,$S48)="","",INDEX('Master Tracker'!$A$6:$A$400,$S48)))</f>
        <v>P4-11</v>
      </c>
      <c r="C48" t="str">
        <f>IF($S48="","",IF(INDEX('Master Tracker'!$C$6:$C$400,$S48)="","",INDEX('Master Tracker'!$C$6:$C$400,$S48)))</f>
        <v>Access Control</v>
      </c>
      <c r="D48" t="str">
        <f>IF($S48="","",IF(INDEX('Master Tracker'!$D$6:$D$400,$S48)="","",INDEX('Master Tracker'!$D$6:$D$400,$S48)))</f>
        <v>Issue access restrictions</v>
      </c>
      <c r="E48" t="str">
        <f>IF($S48="","",IF(INDEX('Master Tracker'!$F$6:$F$400,$S48)="","",INDEX('Master Tracker'!$F$6:$F$400,$S48)))</f>
        <v>P0</v>
      </c>
      <c r="F48" t="str">
        <f>IF($S48="","",IF(INDEX('Master Tracker'!$G$6:$G$400,$S48)="","",INDEX('Master Tracker'!$G$6:$G$400,$S48)))</f>
        <v>Not Started</v>
      </c>
      <c r="G48">
        <f>IF($S48="","",IF(INDEX('Master Tracker'!$H$6:$H$400,$S48)="","",INDEX('Master Tracker'!$H$6:$H$400,$S48)))</f>
        <v>46317</v>
      </c>
      <c r="H48">
        <f>IF($S48="","",IF(INDEX('Master Tracker'!$I$6:$I$400,$S48)="","",INDEX('Master Tracker'!$I$6:$I$400,$S48)))</f>
        <v>46317</v>
      </c>
      <c r="I48">
        <f>IF($S48="","",IF(INDEX('Master Tracker'!$U$6:$U$400,$S48)="","",INDEX('Master Tracker'!$U$6:$U$400,$S48)))</f>
        <v>0</v>
      </c>
      <c r="J48" t="str">
        <f>IF($S48="","",IF(INDEX('Master Tracker'!$K$6:$K$400,$S48)="","",INDEX('Master Tracker'!$K$6:$K$400,$S48)))</f>
        <v>P4-10, P5-07</v>
      </c>
      <c r="K48" t="str">
        <f>IF($S48="","",IF(INDEX('Master Tracker'!$Y$6:$Y$400,$S48)="","",INDEX('Master Tracker'!$Y$6:$Y$400,$S48)))</f>
        <v>⏳ 2 open</v>
      </c>
      <c r="L48" t="str">
        <f>IF($S48="","",IF(INDEX('Master Tracker'!$M$6:$M$400,$S48)="","",INDEX('Master Tracker'!$M$6:$M$400,$S48)))</f>
        <v>inc/pdf-download.php, .htaccess</v>
      </c>
      <c r="M48" t="str">
        <f>IF($S48="","",IF(INDEX('Master Tracker'!$O$6:$O$400,$S48)="","",INDEX('Master Tracker'!$O$6:$O$400,$S48)))</f>
        <v>Restricted PDFs cannot be accessed without entitlement</v>
      </c>
      <c r="N48" t="str">
        <f>IF($S48="","",IF(INDEX('Master Tracker'!$N$6:$N$400,$S48)="","",INDEX('Master Tracker'!$N$6:$N$400,$S48)))</f>
        <v>Try direct PDF URL logged-out; test each tier</v>
      </c>
      <c r="O48" t="str">
        <f>IF($S48="","",IF(INDEX('Master Tracker'!$T$6:$T$400,$S48)="","",INDEX('Master Tracker'!$T$6:$T$400,$S48)))</f>
        <v>Not Tested</v>
      </c>
      <c r="P48" t="str">
        <f>IF($S48="","",IF(INDEX('Master Tracker'!$AC$6:$AC$400,$S48)="","",INDEX('Master Tracker'!$AC$6:$AC$400,$S48)))</f>
        <v>External req.</v>
      </c>
      <c r="S48">
        <f>IFERROR(MATCH("Phase 4|"&amp;A48,'Master Tracker'!$Z$6:$Z$400,0),"")</f>
        <v>68</v>
      </c>
    </row>
    <row r="49">
      <c r="A49">
        <v>12</v>
      </c>
      <c r="B49" t="str">
        <f>IF($S49="","",IF(INDEX('Master Tracker'!$A$6:$A$400,$S49)="","",INDEX('Master Tracker'!$A$6:$A$400,$S49)))</f>
        <v>P4-12</v>
      </c>
      <c r="C49" t="str">
        <f>IF($S49="","",IF(INDEX('Master Tracker'!$C$6:$C$400,$S49)="","",INDEX('Master Tracker'!$C$6:$C$400,$S49)))</f>
        <v>Phase QA</v>
      </c>
      <c r="D49" t="str">
        <f>IF($S49="","",IF(INDEX('Master Tracker'!$D$6:$D$400,$S49)="","",INDEX('Master Tracker'!$D$6:$D$400,$S49)))</f>
        <v>Verify all 48 issues</v>
      </c>
      <c r="E49" t="str">
        <f>IF($S49="","",IF(INDEX('Master Tracker'!$F$6:$F$400,$S49)="","",INDEX('Master Tracker'!$F$6:$F$400,$S49)))</f>
        <v>P0</v>
      </c>
      <c r="F49" t="str">
        <f>IF($S49="","",IF(INDEX('Master Tracker'!$G$6:$G$400,$S49)="","",INDEX('Master Tracker'!$G$6:$G$400,$S49)))</f>
        <v>Not Started</v>
      </c>
      <c r="G49">
        <f>IF($S49="","",IF(INDEX('Master Tracker'!$H$6:$H$400,$S49)="","",INDEX('Master Tracker'!$H$6:$H$400,$S49)))</f>
        <v>46317</v>
      </c>
      <c r="H49">
        <f>IF($S49="","",IF(INDEX('Master Tracker'!$I$6:$I$400,$S49)="","",INDEX('Master Tracker'!$I$6:$I$400,$S49)))</f>
        <v>46317</v>
      </c>
      <c r="I49">
        <f>IF($S49="","",IF(INDEX('Master Tracker'!$U$6:$U$400,$S49)="","",INDEX('Master Tracker'!$U$6:$U$400,$S49)))</f>
        <v>0</v>
      </c>
      <c r="J49" t="str">
        <f>IF($S49="","",IF(INDEX('Master Tracker'!$K$6:$K$400,$S49)="","",INDEX('Master Tracker'!$K$6:$K$400,$S49)))</f>
        <v>P4-04, P4-07, P4-09</v>
      </c>
      <c r="K49" t="str">
        <f>IF($S49="","",IF(INDEX('Master Tracker'!$Y$6:$Y$400,$S49)="","",INDEX('Master Tracker'!$Y$6:$Y$400,$S49)))</f>
        <v>⏳ 3 open</v>
      </c>
      <c r="L49" t="str">
        <f>IF($S49="","",IF(INDEX('Master Tracker'!$M$6:$M$400,$S49)="","",INDEX('Master Tracker'!$M$6:$M$400,$S49)))</f>
        <v>issues-manifest.csv</v>
      </c>
      <c r="M49" t="str">
        <f>IF($S49="","",IF(INDEX('Master Tracker'!$O$6:$O$400,$S49)="","",INDEX('Master Tracker'!$O$6:$O$400,$S49)))</f>
        <v>48/48 issues verified</v>
      </c>
      <c r="N49" t="str">
        <f>IF($S49="","",IF(INDEX('Master Tracker'!$N$6:$N$400,$S49)="","",INDEX('Master Tracker'!$N$6:$N$400,$S49)))</f>
        <v>Tick all 48 against manifest</v>
      </c>
      <c r="O49" t="str">
        <f>IF($S49="","",IF(INDEX('Master Tracker'!$T$6:$T$400,$S49)="","",INDEX('Master Tracker'!$T$6:$T$400,$S49)))</f>
        <v>Not Tested</v>
      </c>
      <c r="P49" t="str">
        <f>IF($S49="","",IF(INDEX('Master Tracker'!$AC$6:$AC$400,$S49)="","",INDEX('Master Tracker'!$AC$6:$AC$400,$S49)))</f>
        <v>On track</v>
      </c>
      <c r="S49">
        <f>IFERROR(MATCH("Phase 4|"&amp;A49,'Master Tracker'!$Z$6:$Z$400,0),"")</f>
        <v>69</v>
      </c>
    </row>
    <row r="50">
      <c r="A50">
        <v>13</v>
      </c>
      <c r="B50" t="str">
        <f>IF($S50="","",IF(INDEX('Master Tracker'!$A$6:$A$400,$S50)="","",INDEX('Master Tracker'!$A$6:$A$400,$S50)))</f>
        <v/>
      </c>
      <c r="C50" t="str">
        <f>IF($S50="","",IF(INDEX('Master Tracker'!$C$6:$C$400,$S50)="","",INDEX('Master Tracker'!$C$6:$C$400,$S50)))</f>
        <v/>
      </c>
      <c r="D50" t="str">
        <f>IF($S50="","",IF(INDEX('Master Tracker'!$D$6:$D$400,$S50)="","",INDEX('Master Tracker'!$D$6:$D$400,$S50)))</f>
        <v/>
      </c>
      <c r="E50" t="str">
        <f>IF($S50="","",IF(INDEX('Master Tracker'!$F$6:$F$400,$S50)="","",INDEX('Master Tracker'!$F$6:$F$400,$S50)))</f>
        <v/>
      </c>
      <c r="F50" t="str">
        <f>IF($S50="","",IF(INDEX('Master Tracker'!$G$6:$G$400,$S50)="","",INDEX('Master Tracker'!$G$6:$G$400,$S50)))</f>
        <v/>
      </c>
      <c r="G50" t="str">
        <f>IF($S50="","",IF(INDEX('Master Tracker'!$H$6:$H$400,$S50)="","",INDEX('Master Tracker'!$H$6:$H$400,$S50)))</f>
        <v/>
      </c>
      <c r="H50" t="str">
        <f>IF($S50="","",IF(INDEX('Master Tracker'!$I$6:$I$400,$S50)="","",INDEX('Master Tracker'!$I$6:$I$400,$S50)))</f>
        <v/>
      </c>
      <c r="I50" t="str">
        <f>IF($S50="","",IF(INDEX('Master Tracker'!$U$6:$U$400,$S50)="","",INDEX('Master Tracker'!$U$6:$U$400,$S50)))</f>
        <v/>
      </c>
      <c r="J50" t="str">
        <f>IF($S50="","",IF(INDEX('Master Tracker'!$K$6:$K$400,$S50)="","",INDEX('Master Tracker'!$K$6:$K$400,$S50)))</f>
        <v/>
      </c>
      <c r="K50" t="str">
        <f>IF($S50="","",IF(INDEX('Master Tracker'!$Y$6:$Y$400,$S50)="","",INDEX('Master Tracker'!$Y$6:$Y$400,$S50)))</f>
        <v/>
      </c>
      <c r="L50" t="str">
        <f>IF($S50="","",IF(INDEX('Master Tracker'!$M$6:$M$400,$S50)="","",INDEX('Master Tracker'!$M$6:$M$400,$S50)))</f>
        <v/>
      </c>
      <c r="M50" t="str">
        <f>IF($S50="","",IF(INDEX('Master Tracker'!$O$6:$O$400,$S50)="","",INDEX('Master Tracker'!$O$6:$O$400,$S50)))</f>
        <v/>
      </c>
      <c r="N50" t="str">
        <f>IF($S50="","",IF(INDEX('Master Tracker'!$N$6:$N$400,$S50)="","",INDEX('Master Tracker'!$N$6:$N$400,$S50)))</f>
        <v/>
      </c>
      <c r="O50" t="str">
        <f>IF($S50="","",IF(INDEX('Master Tracker'!$T$6:$T$400,$S50)="","",INDEX('Master Tracker'!$T$6:$T$400,$S50)))</f>
        <v/>
      </c>
      <c r="P50" t="str">
        <f>IF($S50="","",IF(INDEX('Master Tracker'!$AC$6:$AC$400,$S50)="","",INDEX('Master Tracker'!$AC$6:$AC$400,$S50)))</f>
        <v/>
      </c>
      <c r="S50" t="str">
        <f>IFERROR(MATCH("Phase 4|"&amp;A50,'Master Tracker'!$Z$6:$Z$400,0),"")</f>
        <v/>
      </c>
    </row>
    <row r="51">
      <c r="A51">
        <v>14</v>
      </c>
      <c r="B51" t="str">
        <f>IF($S51="","",IF(INDEX('Master Tracker'!$A$6:$A$400,$S51)="","",INDEX('Master Tracker'!$A$6:$A$400,$S51)))</f>
        <v/>
      </c>
      <c r="C51" t="str">
        <f>IF($S51="","",IF(INDEX('Master Tracker'!$C$6:$C$400,$S51)="","",INDEX('Master Tracker'!$C$6:$C$400,$S51)))</f>
        <v/>
      </c>
      <c r="D51" t="str">
        <f>IF($S51="","",IF(INDEX('Master Tracker'!$D$6:$D$400,$S51)="","",INDEX('Master Tracker'!$D$6:$D$400,$S51)))</f>
        <v/>
      </c>
      <c r="E51" t="str">
        <f>IF($S51="","",IF(INDEX('Master Tracker'!$F$6:$F$400,$S51)="","",INDEX('Master Tracker'!$F$6:$F$400,$S51)))</f>
        <v/>
      </c>
      <c r="F51" t="str">
        <f>IF($S51="","",IF(INDEX('Master Tracker'!$G$6:$G$400,$S51)="","",INDEX('Master Tracker'!$G$6:$G$400,$S51)))</f>
        <v/>
      </c>
      <c r="G51" t="str">
        <f>IF($S51="","",IF(INDEX('Master Tracker'!$H$6:$H$400,$S51)="","",INDEX('Master Tracker'!$H$6:$H$400,$S51)))</f>
        <v/>
      </c>
      <c r="H51" t="str">
        <f>IF($S51="","",IF(INDEX('Master Tracker'!$I$6:$I$400,$S51)="","",INDEX('Master Tracker'!$I$6:$I$400,$S51)))</f>
        <v/>
      </c>
      <c r="I51" t="str">
        <f>IF($S51="","",IF(INDEX('Master Tracker'!$U$6:$U$400,$S51)="","",INDEX('Master Tracker'!$U$6:$U$400,$S51)))</f>
        <v/>
      </c>
      <c r="J51" t="str">
        <f>IF($S51="","",IF(INDEX('Master Tracker'!$K$6:$K$400,$S51)="","",INDEX('Master Tracker'!$K$6:$K$400,$S51)))</f>
        <v/>
      </c>
      <c r="K51" t="str">
        <f>IF($S51="","",IF(INDEX('Master Tracker'!$Y$6:$Y$400,$S51)="","",INDEX('Master Tracker'!$Y$6:$Y$400,$S51)))</f>
        <v/>
      </c>
      <c r="L51" t="str">
        <f>IF($S51="","",IF(INDEX('Master Tracker'!$M$6:$M$400,$S51)="","",INDEX('Master Tracker'!$M$6:$M$400,$S51)))</f>
        <v/>
      </c>
      <c r="M51" t="str">
        <f>IF($S51="","",IF(INDEX('Master Tracker'!$O$6:$O$400,$S51)="","",INDEX('Master Tracker'!$O$6:$O$400,$S51)))</f>
        <v/>
      </c>
      <c r="N51" t="str">
        <f>IF($S51="","",IF(INDEX('Master Tracker'!$N$6:$N$400,$S51)="","",INDEX('Master Tracker'!$N$6:$N$400,$S51)))</f>
        <v/>
      </c>
      <c r="O51" t="str">
        <f>IF($S51="","",IF(INDEX('Master Tracker'!$T$6:$T$400,$S51)="","",INDEX('Master Tracker'!$T$6:$T$400,$S51)))</f>
        <v/>
      </c>
      <c r="P51" t="str">
        <f>IF($S51="","",IF(INDEX('Master Tracker'!$AC$6:$AC$400,$S51)="","",INDEX('Master Tracker'!$AC$6:$AC$400,$S51)))</f>
        <v/>
      </c>
      <c r="S51" t="str">
        <f>IFERROR(MATCH("Phase 4|"&amp;A51,'Master Tracker'!$Z$6:$Z$400,0),"")</f>
        <v/>
      </c>
    </row>
    <row r="52">
      <c r="A52">
        <v>15</v>
      </c>
      <c r="B52" t="str">
        <f>IF($S52="","",IF(INDEX('Master Tracker'!$A$6:$A$400,$S52)="","",INDEX('Master Tracker'!$A$6:$A$400,$S52)))</f>
        <v/>
      </c>
      <c r="C52" t="str">
        <f>IF($S52="","",IF(INDEX('Master Tracker'!$C$6:$C$400,$S52)="","",INDEX('Master Tracker'!$C$6:$C$400,$S52)))</f>
        <v/>
      </c>
      <c r="D52" t="str">
        <f>IF($S52="","",IF(INDEX('Master Tracker'!$D$6:$D$400,$S52)="","",INDEX('Master Tracker'!$D$6:$D$400,$S52)))</f>
        <v/>
      </c>
      <c r="E52" t="str">
        <f>IF($S52="","",IF(INDEX('Master Tracker'!$F$6:$F$400,$S52)="","",INDEX('Master Tracker'!$F$6:$F$400,$S52)))</f>
        <v/>
      </c>
      <c r="F52" t="str">
        <f>IF($S52="","",IF(INDEX('Master Tracker'!$G$6:$G$400,$S52)="","",INDEX('Master Tracker'!$G$6:$G$400,$S52)))</f>
        <v/>
      </c>
      <c r="G52" t="str">
        <f>IF($S52="","",IF(INDEX('Master Tracker'!$H$6:$H$400,$S52)="","",INDEX('Master Tracker'!$H$6:$H$400,$S52)))</f>
        <v/>
      </c>
      <c r="H52" t="str">
        <f>IF($S52="","",IF(INDEX('Master Tracker'!$I$6:$I$400,$S52)="","",INDEX('Master Tracker'!$I$6:$I$400,$S52)))</f>
        <v/>
      </c>
      <c r="I52" t="str">
        <f>IF($S52="","",IF(INDEX('Master Tracker'!$U$6:$U$400,$S52)="","",INDEX('Master Tracker'!$U$6:$U$400,$S52)))</f>
        <v/>
      </c>
      <c r="J52" t="str">
        <f>IF($S52="","",IF(INDEX('Master Tracker'!$K$6:$K$400,$S52)="","",INDEX('Master Tracker'!$K$6:$K$400,$S52)))</f>
        <v/>
      </c>
      <c r="K52" t="str">
        <f>IF($S52="","",IF(INDEX('Master Tracker'!$Y$6:$Y$400,$S52)="","",INDEX('Master Tracker'!$Y$6:$Y$400,$S52)))</f>
        <v/>
      </c>
      <c r="L52" t="str">
        <f>IF($S52="","",IF(INDEX('Master Tracker'!$M$6:$M$400,$S52)="","",INDEX('Master Tracker'!$M$6:$M$400,$S52)))</f>
        <v/>
      </c>
      <c r="M52" t="str">
        <f>IF($S52="","",IF(INDEX('Master Tracker'!$O$6:$O$400,$S52)="","",INDEX('Master Tracker'!$O$6:$O$400,$S52)))</f>
        <v/>
      </c>
      <c r="N52" t="str">
        <f>IF($S52="","",IF(INDEX('Master Tracker'!$N$6:$N$400,$S52)="","",INDEX('Master Tracker'!$N$6:$N$400,$S52)))</f>
        <v/>
      </c>
      <c r="O52" t="str">
        <f>IF($S52="","",IF(INDEX('Master Tracker'!$T$6:$T$400,$S52)="","",INDEX('Master Tracker'!$T$6:$T$400,$S52)))</f>
        <v/>
      </c>
      <c r="P52" t="str">
        <f>IF($S52="","",IF(INDEX('Master Tracker'!$AC$6:$AC$400,$S52)="","",INDEX('Master Tracker'!$AC$6:$AC$400,$S52)))</f>
        <v/>
      </c>
      <c r="S52" t="str">
        <f>IFERROR(MATCH("Phase 4|"&amp;A52,'Master Tracker'!$Z$6:$Z$400,0),"")</f>
        <v/>
      </c>
    </row>
    <row r="53">
      <c r="A53">
        <v>16</v>
      </c>
      <c r="B53" t="str">
        <f>IF($S53="","",IF(INDEX('Master Tracker'!$A$6:$A$400,$S53)="","",INDEX('Master Tracker'!$A$6:$A$400,$S53)))</f>
        <v/>
      </c>
      <c r="C53" t="str">
        <f>IF($S53="","",IF(INDEX('Master Tracker'!$C$6:$C$400,$S53)="","",INDEX('Master Tracker'!$C$6:$C$400,$S53)))</f>
        <v/>
      </c>
      <c r="D53" t="str">
        <f>IF($S53="","",IF(INDEX('Master Tracker'!$D$6:$D$400,$S53)="","",INDEX('Master Tracker'!$D$6:$D$400,$S53)))</f>
        <v/>
      </c>
      <c r="E53" t="str">
        <f>IF($S53="","",IF(INDEX('Master Tracker'!$F$6:$F$400,$S53)="","",INDEX('Master Tracker'!$F$6:$F$400,$S53)))</f>
        <v/>
      </c>
      <c r="F53" t="str">
        <f>IF($S53="","",IF(INDEX('Master Tracker'!$G$6:$G$400,$S53)="","",INDEX('Master Tracker'!$G$6:$G$400,$S53)))</f>
        <v/>
      </c>
      <c r="G53" t="str">
        <f>IF($S53="","",IF(INDEX('Master Tracker'!$H$6:$H$400,$S53)="","",INDEX('Master Tracker'!$H$6:$H$400,$S53)))</f>
        <v/>
      </c>
      <c r="H53" t="str">
        <f>IF($S53="","",IF(INDEX('Master Tracker'!$I$6:$I$400,$S53)="","",INDEX('Master Tracker'!$I$6:$I$400,$S53)))</f>
        <v/>
      </c>
      <c r="I53" t="str">
        <f>IF($S53="","",IF(INDEX('Master Tracker'!$U$6:$U$400,$S53)="","",INDEX('Master Tracker'!$U$6:$U$400,$S53)))</f>
        <v/>
      </c>
      <c r="J53" t="str">
        <f>IF($S53="","",IF(INDEX('Master Tracker'!$K$6:$K$400,$S53)="","",INDEX('Master Tracker'!$K$6:$K$400,$S53)))</f>
        <v/>
      </c>
      <c r="K53" t="str">
        <f>IF($S53="","",IF(INDEX('Master Tracker'!$Y$6:$Y$400,$S53)="","",INDEX('Master Tracker'!$Y$6:$Y$400,$S53)))</f>
        <v/>
      </c>
      <c r="L53" t="str">
        <f>IF($S53="","",IF(INDEX('Master Tracker'!$M$6:$M$400,$S53)="","",INDEX('Master Tracker'!$M$6:$M$400,$S53)))</f>
        <v/>
      </c>
      <c r="M53" t="str">
        <f>IF($S53="","",IF(INDEX('Master Tracker'!$O$6:$O$400,$S53)="","",INDEX('Master Tracker'!$O$6:$O$400,$S53)))</f>
        <v/>
      </c>
      <c r="N53" t="str">
        <f>IF($S53="","",IF(INDEX('Master Tracker'!$N$6:$N$400,$S53)="","",INDEX('Master Tracker'!$N$6:$N$400,$S53)))</f>
        <v/>
      </c>
      <c r="O53" t="str">
        <f>IF($S53="","",IF(INDEX('Master Tracker'!$T$6:$T$400,$S53)="","",INDEX('Master Tracker'!$T$6:$T$400,$S53)))</f>
        <v/>
      </c>
      <c r="P53" t="str">
        <f>IF($S53="","",IF(INDEX('Master Tracker'!$AC$6:$AC$400,$S53)="","",INDEX('Master Tracker'!$AC$6:$AC$400,$S53)))</f>
        <v/>
      </c>
      <c r="S53" t="str">
        <f>IFERROR(MATCH("Phase 4|"&amp;A53,'Master Tracker'!$Z$6:$Z$400,0),"")</f>
        <v/>
      </c>
    </row>
    <row r="54">
      <c r="A54">
        <v>17</v>
      </c>
      <c r="B54" t="str">
        <f>IF($S54="","",IF(INDEX('Master Tracker'!$A$6:$A$400,$S54)="","",INDEX('Master Tracker'!$A$6:$A$400,$S54)))</f>
        <v/>
      </c>
      <c r="C54" t="str">
        <f>IF($S54="","",IF(INDEX('Master Tracker'!$C$6:$C$400,$S54)="","",INDEX('Master Tracker'!$C$6:$C$400,$S54)))</f>
        <v/>
      </c>
      <c r="D54" t="str">
        <f>IF($S54="","",IF(INDEX('Master Tracker'!$D$6:$D$400,$S54)="","",INDEX('Master Tracker'!$D$6:$D$400,$S54)))</f>
        <v/>
      </c>
      <c r="E54" t="str">
        <f>IF($S54="","",IF(INDEX('Master Tracker'!$F$6:$F$400,$S54)="","",INDEX('Master Tracker'!$F$6:$F$400,$S54)))</f>
        <v/>
      </c>
      <c r="F54" t="str">
        <f>IF($S54="","",IF(INDEX('Master Tracker'!$G$6:$G$400,$S54)="","",INDEX('Master Tracker'!$G$6:$G$400,$S54)))</f>
        <v/>
      </c>
      <c r="G54" t="str">
        <f>IF($S54="","",IF(INDEX('Master Tracker'!$H$6:$H$400,$S54)="","",INDEX('Master Tracker'!$H$6:$H$400,$S54)))</f>
        <v/>
      </c>
      <c r="H54" t="str">
        <f>IF($S54="","",IF(INDEX('Master Tracker'!$I$6:$I$400,$S54)="","",INDEX('Master Tracker'!$I$6:$I$400,$S54)))</f>
        <v/>
      </c>
      <c r="I54" t="str">
        <f>IF($S54="","",IF(INDEX('Master Tracker'!$U$6:$U$400,$S54)="","",INDEX('Master Tracker'!$U$6:$U$400,$S54)))</f>
        <v/>
      </c>
      <c r="J54" t="str">
        <f>IF($S54="","",IF(INDEX('Master Tracker'!$K$6:$K$400,$S54)="","",INDEX('Master Tracker'!$K$6:$K$400,$S54)))</f>
        <v/>
      </c>
      <c r="K54" t="str">
        <f>IF($S54="","",IF(INDEX('Master Tracker'!$Y$6:$Y$400,$S54)="","",INDEX('Master Tracker'!$Y$6:$Y$400,$S54)))</f>
        <v/>
      </c>
      <c r="L54" t="str">
        <f>IF($S54="","",IF(INDEX('Master Tracker'!$M$6:$M$400,$S54)="","",INDEX('Master Tracker'!$M$6:$M$400,$S54)))</f>
        <v/>
      </c>
      <c r="M54" t="str">
        <f>IF($S54="","",IF(INDEX('Master Tracker'!$O$6:$O$400,$S54)="","",INDEX('Master Tracker'!$O$6:$O$400,$S54)))</f>
        <v/>
      </c>
      <c r="N54" t="str">
        <f>IF($S54="","",IF(INDEX('Master Tracker'!$N$6:$N$400,$S54)="","",INDEX('Master Tracker'!$N$6:$N$400,$S54)))</f>
        <v/>
      </c>
      <c r="O54" t="str">
        <f>IF($S54="","",IF(INDEX('Master Tracker'!$T$6:$T$400,$S54)="","",INDEX('Master Tracker'!$T$6:$T$400,$S54)))</f>
        <v/>
      </c>
      <c r="P54" t="str">
        <f>IF($S54="","",IF(INDEX('Master Tracker'!$AC$6:$AC$400,$S54)="","",INDEX('Master Tracker'!$AC$6:$AC$400,$S54)))</f>
        <v/>
      </c>
      <c r="S54" t="str">
        <f>IFERROR(MATCH("Phase 4|"&amp;A54,'Master Tracker'!$Z$6:$Z$400,0),"")</f>
        <v/>
      </c>
    </row>
    <row r="55">
      <c r="A55">
        <v>18</v>
      </c>
      <c r="B55" t="str">
        <f>IF($S55="","",IF(INDEX('Master Tracker'!$A$6:$A$400,$S55)="","",INDEX('Master Tracker'!$A$6:$A$400,$S55)))</f>
        <v/>
      </c>
      <c r="C55" t="str">
        <f>IF($S55="","",IF(INDEX('Master Tracker'!$C$6:$C$400,$S55)="","",INDEX('Master Tracker'!$C$6:$C$400,$S55)))</f>
        <v/>
      </c>
      <c r="D55" t="str">
        <f>IF($S55="","",IF(INDEX('Master Tracker'!$D$6:$D$400,$S55)="","",INDEX('Master Tracker'!$D$6:$D$400,$S55)))</f>
        <v/>
      </c>
      <c r="E55" t="str">
        <f>IF($S55="","",IF(INDEX('Master Tracker'!$F$6:$F$400,$S55)="","",INDEX('Master Tracker'!$F$6:$F$400,$S55)))</f>
        <v/>
      </c>
      <c r="F55" t="str">
        <f>IF($S55="","",IF(INDEX('Master Tracker'!$G$6:$G$400,$S55)="","",INDEX('Master Tracker'!$G$6:$G$400,$S55)))</f>
        <v/>
      </c>
      <c r="G55" t="str">
        <f>IF($S55="","",IF(INDEX('Master Tracker'!$H$6:$H$400,$S55)="","",INDEX('Master Tracker'!$H$6:$H$400,$S55)))</f>
        <v/>
      </c>
      <c r="H55" t="str">
        <f>IF($S55="","",IF(INDEX('Master Tracker'!$I$6:$I$400,$S55)="","",INDEX('Master Tracker'!$I$6:$I$400,$S55)))</f>
        <v/>
      </c>
      <c r="I55" t="str">
        <f>IF($S55="","",IF(INDEX('Master Tracker'!$U$6:$U$400,$S55)="","",INDEX('Master Tracker'!$U$6:$U$400,$S55)))</f>
        <v/>
      </c>
      <c r="J55" t="str">
        <f>IF($S55="","",IF(INDEX('Master Tracker'!$K$6:$K$400,$S55)="","",INDEX('Master Tracker'!$K$6:$K$400,$S55)))</f>
        <v/>
      </c>
      <c r="K55" t="str">
        <f>IF($S55="","",IF(INDEX('Master Tracker'!$Y$6:$Y$400,$S55)="","",INDEX('Master Tracker'!$Y$6:$Y$400,$S55)))</f>
        <v/>
      </c>
      <c r="L55" t="str">
        <f>IF($S55="","",IF(INDEX('Master Tracker'!$M$6:$M$400,$S55)="","",INDEX('Master Tracker'!$M$6:$M$400,$S55)))</f>
        <v/>
      </c>
      <c r="M55" t="str">
        <f>IF($S55="","",IF(INDEX('Master Tracker'!$O$6:$O$400,$S55)="","",INDEX('Master Tracker'!$O$6:$O$400,$S55)))</f>
        <v/>
      </c>
      <c r="N55" t="str">
        <f>IF($S55="","",IF(INDEX('Master Tracker'!$N$6:$N$400,$S55)="","",INDEX('Master Tracker'!$N$6:$N$400,$S55)))</f>
        <v/>
      </c>
      <c r="O55" t="str">
        <f>IF($S55="","",IF(INDEX('Master Tracker'!$T$6:$T$400,$S55)="","",INDEX('Master Tracker'!$T$6:$T$400,$S55)))</f>
        <v/>
      </c>
      <c r="P55" t="str">
        <f>IF($S55="","",IF(INDEX('Master Tracker'!$AC$6:$AC$400,$S55)="","",INDEX('Master Tracker'!$AC$6:$AC$400,$S55)))</f>
        <v/>
      </c>
      <c r="S55" t="str">
        <f>IFERROR(MATCH("Phase 4|"&amp;A55,'Master Tracker'!$Z$6:$Z$400,0),"")</f>
        <v/>
      </c>
    </row>
    <row r="56">
      <c r="A56">
        <v>19</v>
      </c>
      <c r="B56" t="str">
        <f>IF($S56="","",IF(INDEX('Master Tracker'!$A$6:$A$400,$S56)="","",INDEX('Master Tracker'!$A$6:$A$400,$S56)))</f>
        <v/>
      </c>
      <c r="C56" t="str">
        <f>IF($S56="","",IF(INDEX('Master Tracker'!$C$6:$C$400,$S56)="","",INDEX('Master Tracker'!$C$6:$C$400,$S56)))</f>
        <v/>
      </c>
      <c r="D56" t="str">
        <f>IF($S56="","",IF(INDEX('Master Tracker'!$D$6:$D$400,$S56)="","",INDEX('Master Tracker'!$D$6:$D$400,$S56)))</f>
        <v/>
      </c>
      <c r="E56" t="str">
        <f>IF($S56="","",IF(INDEX('Master Tracker'!$F$6:$F$400,$S56)="","",INDEX('Master Tracker'!$F$6:$F$400,$S56)))</f>
        <v/>
      </c>
      <c r="F56" t="str">
        <f>IF($S56="","",IF(INDEX('Master Tracker'!$G$6:$G$400,$S56)="","",INDEX('Master Tracker'!$G$6:$G$400,$S56)))</f>
        <v/>
      </c>
      <c r="G56" t="str">
        <f>IF($S56="","",IF(INDEX('Master Tracker'!$H$6:$H$400,$S56)="","",INDEX('Master Tracker'!$H$6:$H$400,$S56)))</f>
        <v/>
      </c>
      <c r="H56" t="str">
        <f>IF($S56="","",IF(INDEX('Master Tracker'!$I$6:$I$400,$S56)="","",INDEX('Master Tracker'!$I$6:$I$400,$S56)))</f>
        <v/>
      </c>
      <c r="I56" t="str">
        <f>IF($S56="","",IF(INDEX('Master Tracker'!$U$6:$U$400,$S56)="","",INDEX('Master Tracker'!$U$6:$U$400,$S56)))</f>
        <v/>
      </c>
      <c r="J56" t="str">
        <f>IF($S56="","",IF(INDEX('Master Tracker'!$K$6:$K$400,$S56)="","",INDEX('Master Tracker'!$K$6:$K$400,$S56)))</f>
        <v/>
      </c>
      <c r="K56" t="str">
        <f>IF($S56="","",IF(INDEX('Master Tracker'!$Y$6:$Y$400,$S56)="","",INDEX('Master Tracker'!$Y$6:$Y$400,$S56)))</f>
        <v/>
      </c>
      <c r="L56" t="str">
        <f>IF($S56="","",IF(INDEX('Master Tracker'!$M$6:$M$400,$S56)="","",INDEX('Master Tracker'!$M$6:$M$400,$S56)))</f>
        <v/>
      </c>
      <c r="M56" t="str">
        <f>IF($S56="","",IF(INDEX('Master Tracker'!$O$6:$O$400,$S56)="","",INDEX('Master Tracker'!$O$6:$O$400,$S56)))</f>
        <v/>
      </c>
      <c r="N56" t="str">
        <f>IF($S56="","",IF(INDEX('Master Tracker'!$N$6:$N$400,$S56)="","",INDEX('Master Tracker'!$N$6:$N$400,$S56)))</f>
        <v/>
      </c>
      <c r="O56" t="str">
        <f>IF($S56="","",IF(INDEX('Master Tracker'!$T$6:$T$400,$S56)="","",INDEX('Master Tracker'!$T$6:$T$400,$S56)))</f>
        <v/>
      </c>
      <c r="P56" t="str">
        <f>IF($S56="","",IF(INDEX('Master Tracker'!$AC$6:$AC$400,$S56)="","",INDEX('Master Tracker'!$AC$6:$AC$400,$S56)))</f>
        <v/>
      </c>
      <c r="S56" t="str">
        <f>IFERROR(MATCH("Phase 4|"&amp;A56,'Master Tracker'!$Z$6:$Z$400,0),"")</f>
        <v/>
      </c>
    </row>
    <row r="57">
      <c r="A57">
        <v>20</v>
      </c>
      <c r="B57" t="str">
        <f>IF($S57="","",IF(INDEX('Master Tracker'!$A$6:$A$400,$S57)="","",INDEX('Master Tracker'!$A$6:$A$400,$S57)))</f>
        <v/>
      </c>
      <c r="C57" t="str">
        <f>IF($S57="","",IF(INDEX('Master Tracker'!$C$6:$C$400,$S57)="","",INDEX('Master Tracker'!$C$6:$C$400,$S57)))</f>
        <v/>
      </c>
      <c r="D57" t="str">
        <f>IF($S57="","",IF(INDEX('Master Tracker'!$D$6:$D$400,$S57)="","",INDEX('Master Tracker'!$D$6:$D$400,$S57)))</f>
        <v/>
      </c>
      <c r="E57" t="str">
        <f>IF($S57="","",IF(INDEX('Master Tracker'!$F$6:$F$400,$S57)="","",INDEX('Master Tracker'!$F$6:$F$400,$S57)))</f>
        <v/>
      </c>
      <c r="F57" t="str">
        <f>IF($S57="","",IF(INDEX('Master Tracker'!$G$6:$G$400,$S57)="","",INDEX('Master Tracker'!$G$6:$G$400,$S57)))</f>
        <v/>
      </c>
      <c r="G57" t="str">
        <f>IF($S57="","",IF(INDEX('Master Tracker'!$H$6:$H$400,$S57)="","",INDEX('Master Tracker'!$H$6:$H$400,$S57)))</f>
        <v/>
      </c>
      <c r="H57" t="str">
        <f>IF($S57="","",IF(INDEX('Master Tracker'!$I$6:$I$400,$S57)="","",INDEX('Master Tracker'!$I$6:$I$400,$S57)))</f>
        <v/>
      </c>
      <c r="I57" t="str">
        <f>IF($S57="","",IF(INDEX('Master Tracker'!$U$6:$U$400,$S57)="","",INDEX('Master Tracker'!$U$6:$U$400,$S57)))</f>
        <v/>
      </c>
      <c r="J57" t="str">
        <f>IF($S57="","",IF(INDEX('Master Tracker'!$K$6:$K$400,$S57)="","",INDEX('Master Tracker'!$K$6:$K$400,$S57)))</f>
        <v/>
      </c>
      <c r="K57" t="str">
        <f>IF($S57="","",IF(INDEX('Master Tracker'!$Y$6:$Y$400,$S57)="","",INDEX('Master Tracker'!$Y$6:$Y$400,$S57)))</f>
        <v/>
      </c>
      <c r="L57" t="str">
        <f>IF($S57="","",IF(INDEX('Master Tracker'!$M$6:$M$400,$S57)="","",INDEX('Master Tracker'!$M$6:$M$400,$S57)))</f>
        <v/>
      </c>
      <c r="M57" t="str">
        <f>IF($S57="","",IF(INDEX('Master Tracker'!$O$6:$O$400,$S57)="","",INDEX('Master Tracker'!$O$6:$O$400,$S57)))</f>
        <v/>
      </c>
      <c r="N57" t="str">
        <f>IF($S57="","",IF(INDEX('Master Tracker'!$N$6:$N$400,$S57)="","",INDEX('Master Tracker'!$N$6:$N$400,$S57)))</f>
        <v/>
      </c>
      <c r="O57" t="str">
        <f>IF($S57="","",IF(INDEX('Master Tracker'!$T$6:$T$400,$S57)="","",INDEX('Master Tracker'!$T$6:$T$400,$S57)))</f>
        <v/>
      </c>
      <c r="P57" t="str">
        <f>IF($S57="","",IF(INDEX('Master Tracker'!$AC$6:$AC$400,$S57)="","",INDEX('Master Tracker'!$AC$6:$AC$400,$S57)))</f>
        <v/>
      </c>
      <c r="S57" t="str">
        <f>IFERROR(MATCH("Phase 4|"&amp;A57,'Master Tracker'!$Z$6:$Z$400,0),"")</f>
        <v/>
      </c>
    </row>
  </sheetData>
  <mergeCells count="50">
    <mergeCell ref="A36:R36"/>
    <mergeCell ref="H5:I5"/>
    <mergeCell ref="A13:H13"/>
    <mergeCell ref="A1:R1"/>
    <mergeCell ref="J13:R13"/>
    <mergeCell ref="A19:H19"/>
    <mergeCell ref="B33:R33"/>
    <mergeCell ref="P6:R6"/>
    <mergeCell ref="B34:R34"/>
    <mergeCell ref="A14:H14"/>
    <mergeCell ref="B28:R28"/>
    <mergeCell ref="A9:R9"/>
    <mergeCell ref="J17:R17"/>
    <mergeCell ref="A22:H22"/>
    <mergeCell ref="A17:H17"/>
    <mergeCell ref="J14:R14"/>
    <mergeCell ref="A24:R24"/>
    <mergeCell ref="A20:H20"/>
    <mergeCell ref="B30:R30"/>
    <mergeCell ref="J19:R19"/>
    <mergeCell ref="A2:R2"/>
    <mergeCell ref="A16:H16"/>
    <mergeCell ref="J22:R22"/>
    <mergeCell ref="J21:R21"/>
    <mergeCell ref="A12:H12"/>
    <mergeCell ref="J12:R12"/>
    <mergeCell ref="A18:H18"/>
    <mergeCell ref="E6:F6"/>
    <mergeCell ref="A21:H21"/>
    <mergeCell ref="P5:R5"/>
    <mergeCell ref="J18:R18"/>
    <mergeCell ref="A10:R10"/>
    <mergeCell ref="A6:C6"/>
    <mergeCell ref="A3:C3"/>
    <mergeCell ref="B25:R25"/>
    <mergeCell ref="B31:R31"/>
    <mergeCell ref="J20:R20"/>
    <mergeCell ref="J16:R16"/>
    <mergeCell ref="H6:I6"/>
    <mergeCell ref="B27:R27"/>
    <mergeCell ref="A5:C5"/>
    <mergeCell ref="J6:K6"/>
    <mergeCell ref="B29:R29"/>
    <mergeCell ref="B32:R32"/>
    <mergeCell ref="B26:R26"/>
    <mergeCell ref="A7:R7"/>
    <mergeCell ref="A15:H15"/>
    <mergeCell ref="J5:K5"/>
    <mergeCell ref="J15:R15"/>
    <mergeCell ref="E5:F5"/>
  </mergeCells>
  <hyperlinks>
    <hyperlink ref="A3" location="'Executive Dashboard'!A1"/>
    <hyperlink ref="D3" location="'Master Tracker'!A1"/>
    <hyperlink ref="F3" r:id="rId1"/>
  </hyperlinks>
  <pageMargins left="0.75" right="0.75" top="1" bottom="1" header="0.5" footer="0.5"/>
  <ignoredErrors>
    <ignoredError numberStoredAsText="1" sqref="A1:S57"/>
  </ignoredErrors>
</worksheet>
</file>

<file path=xl/worksheets/sheet7.xml><?xml version="1.0" encoding="utf-8"?>
<worksheet xmlns="http://schemas.openxmlformats.org/spreadsheetml/2006/main" xmlns:r="http://schemas.openxmlformats.org/officeDocument/2006/relationships">
  <dimension ref="A1:S67"/>
  <sheetViews>
    <sheetView workbookViewId="0" rightToLeft="0"/>
  </sheetViews>
  <sheetData>
    <row r="1">
      <c r="A1" t="str">
        <v xml:space="preserve">  PHASE 5 — AUTH, SUBSCRIPTIONS, ADOPS &amp; LEADS</v>
      </c>
    </row>
    <row r="2">
      <c r="A2" t="str">
        <v xml:space="preserve">  Window 23 Oct – 25 Oct 2026   ·   Status is read live from the Master Tracker (edit there)</v>
      </c>
    </row>
    <row r="3">
      <c r="A3" t="str">
        <v>← Dashboard</v>
      </c>
      <c r="D3" t="str">
        <v>Open Master Tracker →</v>
      </c>
      <c r="F3" t="str">
        <v>Staging ↗</v>
      </c>
    </row>
    <row r="5">
      <c r="A5" t="str">
        <v>COMPLETION</v>
      </c>
      <c r="D5" t="str">
        <v>PLANNED</v>
      </c>
      <c r="E5" t="str">
        <v>TASKS</v>
      </c>
      <c r="G5" t="str">
        <v>DONE</v>
      </c>
      <c r="H5" t="str">
        <v>IN PROGRESS</v>
      </c>
      <c r="J5" t="str">
        <v>BLOCKED</v>
      </c>
      <c r="L5" t="str">
        <v>OVERDUE</v>
      </c>
      <c r="M5" t="str">
        <v>IN REVIEW / TEST</v>
      </c>
      <c r="N5" t="str">
        <v>OPEN P0</v>
      </c>
      <c r="O5" t="str">
        <v>DEADLINE</v>
      </c>
      <c r="P5" t="str">
        <v>PHASE STATUS</v>
      </c>
    </row>
    <row r="6">
      <c r="A6">
        <f>IFERROR(SUMPRODUCT(('Master Tracker'!$B$6:$B$400="Phase 5")*'Master Tracker'!$U$6:$U$400)/COUNTIFS('Master Tracker'!$B$6:$B$400,"Phase 5",'Master Tracker'!$A$6:$A$400,"?*"),0)</f>
        <v>0</v>
      </c>
      <c r="D6">
        <f>IFERROR(SUMPRODUCT(('Master Tracker'!$B$6:$B$400="Phase 5")*'Master Tracker'!$V$6:$V$400)/COUNTIFS('Master Tracker'!$B$6:$B$400,"Phase 5",'Master Tracker'!$A$6:$A$400,"?*"),0)</f>
        <v>0</v>
      </c>
      <c r="E6">
        <f>COUNTIFS('Master Tracker'!$B$6:$B$400,"Phase 5",'Master Tracker'!$A$6:$A$400,"?*")</f>
        <v>20</v>
      </c>
      <c r="G6">
        <f>COUNTIFS('Master Tracker'!$B$6:$B$400,"Phase 5",'Master Tracker'!$G$6:$G$400,"Completed")</f>
        <v>0</v>
      </c>
      <c r="H6">
        <f>COUNTIFS('Master Tracker'!$B$6:$B$400,"Phase 5",'Master Tracker'!$G$6:$G$400,"In Progress")</f>
        <v>0</v>
      </c>
      <c r="J6">
        <f>COUNTIFS('Master Tracker'!$B$6:$B$400,"Phase 5",'Master Tracker'!$G$6:$G$400,"Blocked")</f>
        <v>0</v>
      </c>
      <c r="L6">
        <f>COUNTIFS('Master Tracker'!$B$6:$B$400,"Phase 5",'Master Tracker'!$X$6:$X$400,"OVERDUE")</f>
        <v>0</v>
      </c>
      <c r="M6">
        <f>COUNTIFS('Master Tracker'!$B$6:$B$400,"Phase 5",'Master Tracker'!$G$6:$G$400,"In Review")+COUNTIFS('Master Tracker'!$B$6:$B$400,"Phase 5",'Master Tracker'!$G$6:$G$400,"Testing")</f>
        <v>0</v>
      </c>
      <c r="N6">
        <f>COUNTIFS('Master Tracker'!$B$6:$B$400,"Phase 5",'Master Tracker'!$F$6:$F$400,"P0",'Master Tracker'!$G$6:$G$400,"&lt;&gt;Completed",'Master Tracker'!$A$6:$A$400,"?*")</f>
        <v>11</v>
      </c>
      <c r="O6">
        <f>MAXIFS('Master Tracker'!$I$6:$I$400,'Master Tracker'!$B$6:$B$400,"Phase 5")</f>
        <v>46320</v>
      </c>
      <c r="P6" t="str">
        <f>IF(E6=0,"—",IF(G6=E6,"Complete",IF(J6&gt;0,"Blocked",IF(L6&gt;0,"Behind",IF(A6+0.1&lt;D6,"Behind",IF(A6&gt;0,"On Track","Not Started"))))))</f>
        <v>Not Started</v>
      </c>
    </row>
    <row r="7">
      <c r="A7" t="str">
        <f>"Progress  "&amp;REPT("█",ROUND(A6*50,0))&amp;REPT("░",50-ROUND(A6*50,0))&amp;"  "&amp;TEXT(A6,"0%")&amp;"  (planned "&amp;TEXT(D6,"0%")&amp;")"</f>
        <v>Progress  ░░░░░░░░░░░░░░░░░░░░░░░░░░░░░░░░░░░░░░░░░░░░░░░░░░  0%  (planned 0%)</v>
      </c>
    </row>
    <row r="9">
      <c r="A9" t="str">
        <v xml:space="preserve">  PHASE GOAL</v>
      </c>
    </row>
    <row r="10">
      <c r="A10" t="str">
        <v>Enable reader accounts (email, Google, Apple), paid subscription tiers with verified payment webhooks, a member dashboard, and revenue pages (advertising, rate calculator, media kit, lead capture) plus About/Contact and editorial role permissions — all hardened against abuse.</v>
      </c>
    </row>
    <row r="12">
      <c r="A12" t="str">
        <v xml:space="preserve">  DELIVERABLES</v>
      </c>
      <c r="J12" t="str">
        <v xml:space="preserve">  REQUIRED WORDPRESS FILES</v>
      </c>
    </row>
    <row r="13">
      <c r="A13" t="str">
        <v>▸ Login, registration, password reset</v>
      </c>
      <c r="J13" t="str">
        <v>▸ page-templates/page-login.php, page-register.php, page-reset.php</v>
      </c>
    </row>
    <row r="14">
      <c r="A14" t="str">
        <v>▸ Google and Apple sign-in</v>
      </c>
      <c r="J14" t="str">
        <v>▸ page-templates/page-account.php</v>
      </c>
    </row>
    <row r="15">
      <c r="A15" t="str">
        <v>▸ Member dashboard</v>
      </c>
      <c r="J15" t="str">
        <v>▸ inc/auth/*.php</v>
      </c>
    </row>
    <row r="16">
      <c r="A16" t="str">
        <v>▸ Security hardening &amp; rate limiting</v>
      </c>
      <c r="J16" t="str">
        <v>▸ inc/auth/social-google.php, social-apple.php</v>
      </c>
    </row>
    <row r="17">
      <c r="A17" t="str">
        <v>▸ Subscription tiers + payment gateway + verified webhooks</v>
      </c>
      <c r="J17" t="str">
        <v>▸ inc/subscriptions/*.php</v>
      </c>
    </row>
    <row r="18">
      <c r="A18" t="str">
        <v>▸ Advertising page, rate calculator, media kit</v>
      </c>
      <c r="J18" t="str">
        <v>▸ inc/payments/gateway.php, webhook.php</v>
      </c>
    </row>
    <row r="19">
      <c r="A19" t="str">
        <v>▸ Lead capture forms</v>
      </c>
      <c r="J19" t="str">
        <v>▸ page-templates/page-advertise.php</v>
      </c>
    </row>
    <row r="20">
      <c r="A20" t="str">
        <v>▸ About and Contact pages</v>
      </c>
      <c r="J20" t="str">
        <v>▸ assets/js/modules/rate-calculator.js</v>
      </c>
    </row>
    <row r="21">
      <c r="A21" t="str">
        <v>▸ Editorial roles &amp; permissions</v>
      </c>
      <c r="J21" t="str">
        <v>▸ inc/leads.php</v>
      </c>
    </row>
    <row r="22">
      <c r="J22" t="str">
        <v>▸ page-templates/page-about.php, page-contact.php</v>
      </c>
    </row>
    <row r="23">
      <c r="J23" t="str">
        <v>▸ inc/roles.php</v>
      </c>
    </row>
    <row r="24">
      <c r="J24" t="str">
        <v>▸ inc/security.php</v>
      </c>
    </row>
    <row r="26">
      <c r="A26" t="str">
        <v xml:space="preserve">  TECHNICAL IMPLEMENTATION STEPS</v>
      </c>
    </row>
    <row r="27">
      <c r="A27">
        <v>1</v>
      </c>
      <c r="B27" t="str">
        <v>Day 1: request Google OAuth, Apple Developer and payment-provider credentials</v>
      </c>
    </row>
    <row r="28">
      <c r="A28">
        <v>2</v>
      </c>
      <c r="B28" t="str">
        <v>Build custom auth templates (wp_signon, registration, reset, email verification)</v>
      </c>
    </row>
    <row r="29">
      <c r="A29">
        <v>3</v>
      </c>
      <c r="B29" t="str">
        <v>Integrate Google OAuth 2.0 and Sign in with Apple</v>
      </c>
    </row>
    <row r="30">
      <c r="A30">
        <v>4</v>
      </c>
      <c r="B30" t="str">
        <v>Model tiers (roles/capabilities + user meta expiry)</v>
      </c>
    </row>
    <row r="31">
      <c r="A31">
        <v>5</v>
      </c>
      <c r="B31" t="str">
        <v>Integrate gateway hosted checkout (sandbox first)</v>
      </c>
    </row>
    <row r="32">
      <c r="A32">
        <v>6</v>
      </c>
      <c r="B32" t="str">
        <v>Implement webhook endpoint with signature check + idempotency</v>
      </c>
    </row>
    <row r="33">
      <c r="A33">
        <v>7</v>
      </c>
      <c r="B33" t="str">
        <v>Build member dashboard (profile, plan, downloads)</v>
      </c>
    </row>
    <row r="34">
      <c r="A34">
        <v>8</v>
      </c>
      <c r="B34" t="str">
        <v>Add rate limiting, nonces, CAPTCHA/honeypot</v>
      </c>
    </row>
    <row r="35">
      <c r="A35">
        <v>9</v>
      </c>
      <c r="B35" t="str">
        <v>Build advertising page, calculator, media kit, lead forms (stored + emailed)</v>
      </c>
    </row>
    <row r="36">
      <c r="A36">
        <v>10</v>
      </c>
      <c r="B36" t="str">
        <v>Build About/Contact; configure SMTP; define editorial roles</v>
      </c>
    </row>
    <row r="38">
      <c r="A38" t="str">
        <v xml:space="preserve">  DETAILED TASK CHECKLIST   (live from Master Tracker — change Status / % there)</v>
      </c>
    </row>
    <row r="39">
      <c r="A39" t="str">
        <v>#</v>
      </c>
      <c r="B39" t="str">
        <v>Task ID</v>
      </c>
      <c r="C39" t="str">
        <v>Module</v>
      </c>
      <c r="D39" t="str">
        <v>Task</v>
      </c>
      <c r="E39" t="str">
        <v>Priority</v>
      </c>
      <c r="F39" t="str">
        <v>Status</v>
      </c>
      <c r="G39" t="str">
        <v>Start</v>
      </c>
      <c r="H39" t="str">
        <v>Due</v>
      </c>
      <c r="I39" t="str">
        <v>Complete</v>
      </c>
      <c r="J39" t="str">
        <v>Dependencies</v>
      </c>
      <c r="K39" t="str">
        <v>Dep. check</v>
      </c>
      <c r="L39" t="str">
        <v>WordPress files</v>
      </c>
      <c r="M39" t="str">
        <v>Acceptance criteria</v>
      </c>
      <c r="N39" t="str">
        <v>Testing checklist</v>
      </c>
      <c r="O39" t="str">
        <v>Test result</v>
      </c>
      <c r="P39" t="str">
        <v>Alert</v>
      </c>
    </row>
    <row r="40">
      <c r="A40">
        <v>1</v>
      </c>
      <c r="B40" t="str">
        <f>IF($S40="","",IF(INDEX('Master Tracker'!$A$6:$A$400,$S40)="","",INDEX('Master Tracker'!$A$6:$A$400,$S40)))</f>
        <v>P5-01</v>
      </c>
      <c r="C40" t="str">
        <f>IF($S40="","",IF(INDEX('Master Tracker'!$C$6:$C$400,$S40)="","",INDEX('Master Tracker'!$C$6:$C$400,$S40)))</f>
        <v>Credentials</v>
      </c>
      <c r="D40" t="str">
        <f>IF($S40="","",IF(INDEX('Master Tracker'!$D$6:$D$400,$S40)="","",INDEX('Master Tracker'!$D$6:$D$400,$S40)))</f>
        <v>Request Google OAuth credentials</v>
      </c>
      <c r="E40" t="str">
        <f>IF($S40="","",IF(INDEX('Master Tracker'!$F$6:$F$400,$S40)="","",INDEX('Master Tracker'!$F$6:$F$400,$S40)))</f>
        <v>P1</v>
      </c>
      <c r="F40" t="str">
        <f>IF($S40="","",IF(INDEX('Master Tracker'!$G$6:$G$400,$S40)="","",INDEX('Master Tracker'!$G$6:$G$400,$S40)))</f>
        <v>Not Started</v>
      </c>
      <c r="G40">
        <f>IF($S40="","",IF(INDEX('Master Tracker'!$H$6:$H$400,$S40)="","",INDEX('Master Tracker'!$H$6:$H$400,$S40)))</f>
        <v>46307</v>
      </c>
      <c r="H40">
        <f>IF($S40="","",IF(INDEX('Master Tracker'!$I$6:$I$400,$S40)="","",INDEX('Master Tracker'!$I$6:$I$400,$S40)))</f>
        <v>46315</v>
      </c>
      <c r="I40">
        <f>IF($S40="","",IF(INDEX('Master Tracker'!$U$6:$U$400,$S40)="","",INDEX('Master Tracker'!$U$6:$U$400,$S40)))</f>
        <v>0</v>
      </c>
      <c r="J40" t="str">
        <f>IF($S40="","",IF(INDEX('Master Tracker'!$K$6:$K$400,$S40)="","",INDEX('Master Tracker'!$K$6:$K$400,$S40)))</f>
        <v/>
      </c>
      <c r="K40" t="str">
        <f>IF($S40="","",IF(INDEX('Master Tracker'!$Y$6:$Y$400,$S40)="","",INDEX('Master Tracker'!$Y$6:$Y$400,$S40)))</f>
        <v/>
      </c>
      <c r="L40" t="str">
        <f>IF($S40="","",IF(INDEX('Master Tracker'!$M$6:$M$400,$S40)="","",INDEX('Master Tracker'!$M$6:$M$400,$S40)))</f>
        <v>—</v>
      </c>
      <c r="M40" t="str">
        <f>IF($S40="","",IF(INDEX('Master Tracker'!$O$6:$O$400,$S40)="","",INDEX('Master Tracker'!$O$6:$O$400,$S40)))</f>
        <v>Valid client ID/secret for both domains</v>
      </c>
      <c r="N40" t="str">
        <f>IF($S40="","",IF(INDEX('Master Tracker'!$N$6:$N$400,$S40)="","",INDEX('Master Tracker'!$N$6:$N$400,$S40)))</f>
        <v>Credentials received and stored securely (not in Git)</v>
      </c>
      <c r="O40" t="str">
        <f>IF($S40="","",IF(INDEX('Master Tracker'!$T$6:$T$400,$S40)="","",INDEX('Master Tracker'!$T$6:$T$400,$S40)))</f>
        <v>Not Tested</v>
      </c>
      <c r="P40" t="str">
        <f>IF($S40="","",IF(INDEX('Master Tracker'!$AC$6:$AC$400,$S40)="","",INDEX('Master Tracker'!$AC$6:$AC$400,$S40)))</f>
        <v>External req.</v>
      </c>
      <c r="S40">
        <f>IFERROR(MATCH("Phase 5|"&amp;A40,'Master Tracker'!$Z$6:$Z$400,0),"")</f>
        <v>70</v>
      </c>
    </row>
    <row r="41">
      <c r="A41">
        <v>2</v>
      </c>
      <c r="B41" t="str">
        <f>IF($S41="","",IF(INDEX('Master Tracker'!$A$6:$A$400,$S41)="","",INDEX('Master Tracker'!$A$6:$A$400,$S41)))</f>
        <v>P5-02</v>
      </c>
      <c r="C41" t="str">
        <f>IF($S41="","",IF(INDEX('Master Tracker'!$C$6:$C$400,$S41)="","",INDEX('Master Tracker'!$C$6:$C$400,$S41)))</f>
        <v>Credentials</v>
      </c>
      <c r="D41" t="str">
        <f>IF($S41="","",IF(INDEX('Master Tracker'!$D$6:$D$400,$S41)="","",INDEX('Master Tracker'!$D$6:$D$400,$S41)))</f>
        <v>Request Sign in with Apple credentials</v>
      </c>
      <c r="E41" t="str">
        <f>IF($S41="","",IF(INDEX('Master Tracker'!$F$6:$F$400,$S41)="","",INDEX('Master Tracker'!$F$6:$F$400,$S41)))</f>
        <v>P1</v>
      </c>
      <c r="F41" t="str">
        <f>IF($S41="","",IF(INDEX('Master Tracker'!$G$6:$G$400,$S41)="","",INDEX('Master Tracker'!$G$6:$G$400,$S41)))</f>
        <v>Not Started</v>
      </c>
      <c r="G41">
        <f>IF($S41="","",IF(INDEX('Master Tracker'!$H$6:$H$400,$S41)="","",INDEX('Master Tracker'!$H$6:$H$400,$S41)))</f>
        <v>46307</v>
      </c>
      <c r="H41">
        <f>IF($S41="","",IF(INDEX('Master Tracker'!$I$6:$I$400,$S41)="","",INDEX('Master Tracker'!$I$6:$I$400,$S41)))</f>
        <v>46315</v>
      </c>
      <c r="I41">
        <f>IF($S41="","",IF(INDEX('Master Tracker'!$U$6:$U$400,$S41)="","",INDEX('Master Tracker'!$U$6:$U$400,$S41)))</f>
        <v>0</v>
      </c>
      <c r="J41" t="str">
        <f>IF($S41="","",IF(INDEX('Master Tracker'!$K$6:$K$400,$S41)="","",INDEX('Master Tracker'!$K$6:$K$400,$S41)))</f>
        <v/>
      </c>
      <c r="K41" t="str">
        <f>IF($S41="","",IF(INDEX('Master Tracker'!$Y$6:$Y$400,$S41)="","",INDEX('Master Tracker'!$Y$6:$Y$400,$S41)))</f>
        <v/>
      </c>
      <c r="L41" t="str">
        <f>IF($S41="","",IF(INDEX('Master Tracker'!$M$6:$M$400,$S41)="","",INDEX('Master Tracker'!$M$6:$M$400,$S41)))</f>
        <v>—</v>
      </c>
      <c r="M41" t="str">
        <f>IF($S41="","",IF(INDEX('Master Tracker'!$O$6:$O$400,$S41)="","",INDEX('Master Tracker'!$O$6:$O$400,$S41)))</f>
        <v>Valid Apple credentials for both domains</v>
      </c>
      <c r="N41" t="str">
        <f>IF($S41="","",IF(INDEX('Master Tracker'!$N$6:$N$400,$S41)="","",INDEX('Master Tracker'!$N$6:$N$400,$S41)))</f>
        <v>Credentials received; domain verification file placed</v>
      </c>
      <c r="O41" t="str">
        <f>IF($S41="","",IF(INDEX('Master Tracker'!$T$6:$T$400,$S41)="","",INDEX('Master Tracker'!$T$6:$T$400,$S41)))</f>
        <v>Not Tested</v>
      </c>
      <c r="P41" t="str">
        <f>IF($S41="","",IF(INDEX('Master Tracker'!$AC$6:$AC$400,$S41)="","",INDEX('Master Tracker'!$AC$6:$AC$400,$S41)))</f>
        <v>External req.</v>
      </c>
      <c r="S41">
        <f>IFERROR(MATCH("Phase 5|"&amp;A41,'Master Tracker'!$Z$6:$Z$400,0),"")</f>
        <v>71</v>
      </c>
    </row>
    <row r="42">
      <c r="A42">
        <v>3</v>
      </c>
      <c r="B42" t="str">
        <f>IF($S42="","",IF(INDEX('Master Tracker'!$A$6:$A$400,$S42)="","",INDEX('Master Tracker'!$A$6:$A$400,$S42)))</f>
        <v>P5-03</v>
      </c>
      <c r="C42" t="str">
        <f>IF($S42="","",IF(INDEX('Master Tracker'!$C$6:$C$400,$S42)="","",INDEX('Master Tracker'!$C$6:$C$400,$S42)))</f>
        <v>Payments</v>
      </c>
      <c r="D42" t="str">
        <f>IF($S42="","",IF(INDEX('Master Tracker'!$D$6:$D$400,$S42)="","",INDEX('Master Tracker'!$D$6:$D$400,$S42)))</f>
        <v>Confirm payment provider &amp; obtain API keys</v>
      </c>
      <c r="E42" t="str">
        <f>IF($S42="","",IF(INDEX('Master Tracker'!$F$6:$F$400,$S42)="","",INDEX('Master Tracker'!$F$6:$F$400,$S42)))</f>
        <v>P0</v>
      </c>
      <c r="F42" t="str">
        <f>IF($S42="","",IF(INDEX('Master Tracker'!$G$6:$G$400,$S42)="","",INDEX('Master Tracker'!$G$6:$G$400,$S42)))</f>
        <v>Not Started</v>
      </c>
      <c r="G42">
        <f>IF($S42="","",IF(INDEX('Master Tracker'!$H$6:$H$400,$S42)="","",INDEX('Master Tracker'!$H$6:$H$400,$S42)))</f>
        <v>46307</v>
      </c>
      <c r="H42">
        <f>IF($S42="","",IF(INDEX('Master Tracker'!$I$6:$I$400,$S42)="","",INDEX('Master Tracker'!$I$6:$I$400,$S42)))</f>
        <v>46317</v>
      </c>
      <c r="I42">
        <f>IF($S42="","",IF(INDEX('Master Tracker'!$U$6:$U$400,$S42)="","",INDEX('Master Tracker'!$U$6:$U$400,$S42)))</f>
        <v>0</v>
      </c>
      <c r="J42" t="str">
        <f>IF($S42="","",IF(INDEX('Master Tracker'!$K$6:$K$400,$S42)="","",INDEX('Master Tracker'!$K$6:$K$400,$S42)))</f>
        <v/>
      </c>
      <c r="K42" t="str">
        <f>IF($S42="","",IF(INDEX('Master Tracker'!$Y$6:$Y$400,$S42)="","",INDEX('Master Tracker'!$Y$6:$Y$400,$S42)))</f>
        <v/>
      </c>
      <c r="L42" t="str">
        <f>IF($S42="","",IF(INDEX('Master Tracker'!$M$6:$M$400,$S42)="","",INDEX('Master Tracker'!$M$6:$M$400,$S42)))</f>
        <v>—</v>
      </c>
      <c r="M42" t="str">
        <f>IF($S42="","",IF(INDEX('Master Tracker'!$O$6:$O$400,$S42)="","",INDEX('Master Tracker'!$O$6:$O$400,$S42)))</f>
        <v>Sandbox keys in hand; live approval confirmed before cutover</v>
      </c>
      <c r="N42" t="str">
        <f>IF($S42="","",IF(INDEX('Master Tracker'!$N$6:$N$400,$S42)="","",INDEX('Master Tracker'!$N$6:$N$400,$S42)))</f>
        <v>Sandbox transaction possible; live approval date known</v>
      </c>
      <c r="O42" t="str">
        <f>IF($S42="","",IF(INDEX('Master Tracker'!$T$6:$T$400,$S42)="","",INDEX('Master Tracker'!$T$6:$T$400,$S42)))</f>
        <v>Not Tested</v>
      </c>
      <c r="P42" t="str">
        <f>IF($S42="","",IF(INDEX('Master Tracker'!$AC$6:$AC$400,$S42)="","",INDEX('Master Tracker'!$AC$6:$AC$400,$S42)))</f>
        <v>External req.</v>
      </c>
      <c r="S42">
        <f>IFERROR(MATCH("Phase 5|"&amp;A42,'Master Tracker'!$Z$6:$Z$400,0),"")</f>
        <v>72</v>
      </c>
    </row>
    <row r="43">
      <c r="A43">
        <v>4</v>
      </c>
      <c r="B43" t="str">
        <f>IF($S43="","",IF(INDEX('Master Tracker'!$A$6:$A$400,$S43)="","",INDEX('Master Tracker'!$A$6:$A$400,$S43)))</f>
        <v>P5-04</v>
      </c>
      <c r="C43" t="str">
        <f>IF($S43="","",IF(INDEX('Master Tracker'!$C$6:$C$400,$S43)="","",INDEX('Master Tracker'!$C$6:$C$400,$S43)))</f>
        <v>Authentication</v>
      </c>
      <c r="D43" t="str">
        <f>IF($S43="","",IF(INDEX('Master Tracker'!$D$6:$D$400,$S43)="","",INDEX('Master Tracker'!$D$6:$D$400,$S43)))</f>
        <v>Login, registration &amp; password reset</v>
      </c>
      <c r="E43" t="str">
        <f>IF($S43="","",IF(INDEX('Master Tracker'!$F$6:$F$400,$S43)="","",INDEX('Master Tracker'!$F$6:$F$400,$S43)))</f>
        <v>P0</v>
      </c>
      <c r="F43" t="str">
        <f>IF($S43="","",IF(INDEX('Master Tracker'!$G$6:$G$400,$S43)="","",INDEX('Master Tracker'!$G$6:$G$400,$S43)))</f>
        <v>Not Started</v>
      </c>
      <c r="G43">
        <f>IF($S43="","",IF(INDEX('Master Tracker'!$H$6:$H$400,$S43)="","",INDEX('Master Tracker'!$H$6:$H$400,$S43)))</f>
        <v>46318</v>
      </c>
      <c r="H43">
        <f>IF($S43="","",IF(INDEX('Master Tracker'!$I$6:$I$400,$S43)="","",INDEX('Master Tracker'!$I$6:$I$400,$S43)))</f>
        <v>46318</v>
      </c>
      <c r="I43">
        <f>IF($S43="","",IF(INDEX('Master Tracker'!$U$6:$U$400,$S43)="","",INDEX('Master Tracker'!$U$6:$U$400,$S43)))</f>
        <v>0</v>
      </c>
      <c r="J43" t="str">
        <f>IF($S43="","",IF(INDEX('Master Tracker'!$K$6:$K$400,$S43)="","",INDEX('Master Tracker'!$K$6:$K$400,$S43)))</f>
        <v>P1-17</v>
      </c>
      <c r="K43" t="str">
        <f>IF($S43="","",IF(INDEX('Master Tracker'!$Y$6:$Y$400,$S43)="","",INDEX('Master Tracker'!$Y$6:$Y$400,$S43)))</f>
        <v>⏳ 1 open</v>
      </c>
      <c r="L43" t="str">
        <f>IF($S43="","",IF(INDEX('Master Tracker'!$M$6:$M$400,$S43)="","",INDEX('Master Tracker'!$M$6:$M$400,$S43)))</f>
        <v>page-templates/page-login.php, page-register.php, page-reset.php, inc/auth/*.php</v>
      </c>
      <c r="M43" t="str">
        <f>IF($S43="","",IF(INDEX('Master Tracker'!$O$6:$O$400,$S43)="","",INDEX('Master Tracker'!$O$6:$O$400,$S43)))</f>
        <v>Complete account lifecycle works with clear Arabic messages</v>
      </c>
      <c r="N43" t="str">
        <f>IF($S43="","",IF(INDEX('Master Tracker'!$N$6:$N$400,$S43)="","",INDEX('Master Tracker'!$N$6:$N$400,$S43)))</f>
        <v>Register, verify, log in, reset password, log out</v>
      </c>
      <c r="O43" t="str">
        <f>IF($S43="","",IF(INDEX('Master Tracker'!$T$6:$T$400,$S43)="","",INDEX('Master Tracker'!$T$6:$T$400,$S43)))</f>
        <v>Not Tested</v>
      </c>
      <c r="P43" t="str">
        <f>IF($S43="","",IF(INDEX('Master Tracker'!$AC$6:$AC$400,$S43)="","",INDEX('Master Tracker'!$AC$6:$AC$400,$S43)))</f>
        <v>On track</v>
      </c>
      <c r="S43">
        <f>IFERROR(MATCH("Phase 5|"&amp;A43,'Master Tracker'!$Z$6:$Z$400,0),"")</f>
        <v>73</v>
      </c>
    </row>
    <row r="44">
      <c r="A44">
        <v>5</v>
      </c>
      <c r="B44" t="str">
        <f>IF($S44="","",IF(INDEX('Master Tracker'!$A$6:$A$400,$S44)="","",INDEX('Master Tracker'!$A$6:$A$400,$S44)))</f>
        <v>P5-05</v>
      </c>
      <c r="C44" t="str">
        <f>IF($S44="","",IF(INDEX('Master Tracker'!$C$6:$C$400,$S44)="","",INDEX('Master Tracker'!$C$6:$C$400,$S44)))</f>
        <v>Authentication</v>
      </c>
      <c r="D44" t="str">
        <f>IF($S44="","",IF(INDEX('Master Tracker'!$D$6:$D$400,$S44)="","",INDEX('Master Tracker'!$D$6:$D$400,$S44)))</f>
        <v>Google sign-in</v>
      </c>
      <c r="E44" t="str">
        <f>IF($S44="","",IF(INDEX('Master Tracker'!$F$6:$F$400,$S44)="","",INDEX('Master Tracker'!$F$6:$F$400,$S44)))</f>
        <v>P1</v>
      </c>
      <c r="F44" t="str">
        <f>IF($S44="","",IF(INDEX('Master Tracker'!$G$6:$G$400,$S44)="","",INDEX('Master Tracker'!$G$6:$G$400,$S44)))</f>
        <v>Not Started</v>
      </c>
      <c r="G44">
        <f>IF($S44="","",IF(INDEX('Master Tracker'!$H$6:$H$400,$S44)="","",INDEX('Master Tracker'!$H$6:$H$400,$S44)))</f>
        <v>46318</v>
      </c>
      <c r="H44">
        <f>IF($S44="","",IF(INDEX('Master Tracker'!$I$6:$I$400,$S44)="","",INDEX('Master Tracker'!$I$6:$I$400,$S44)))</f>
        <v>46318</v>
      </c>
      <c r="I44">
        <f>IF($S44="","",IF(INDEX('Master Tracker'!$U$6:$U$400,$S44)="","",INDEX('Master Tracker'!$U$6:$U$400,$S44)))</f>
        <v>0</v>
      </c>
      <c r="J44" t="str">
        <f>IF($S44="","",IF(INDEX('Master Tracker'!$K$6:$K$400,$S44)="","",INDEX('Master Tracker'!$K$6:$K$400,$S44)))</f>
        <v>P5-01, P5-04</v>
      </c>
      <c r="K44" t="str">
        <f>IF($S44="","",IF(INDEX('Master Tracker'!$Y$6:$Y$400,$S44)="","",INDEX('Master Tracker'!$Y$6:$Y$400,$S44)))</f>
        <v>⏳ 2 open</v>
      </c>
      <c r="L44" t="str">
        <f>IF($S44="","",IF(INDEX('Master Tracker'!$M$6:$M$400,$S44)="","",INDEX('Master Tracker'!$M$6:$M$400,$S44)))</f>
        <v>inc/auth/social-google.php</v>
      </c>
      <c r="M44" t="str">
        <f>IF($S44="","",IF(INDEX('Master Tracker'!$O$6:$O$400,$S44)="","",INDEX('Master Tracker'!$O$6:$O$400,$S44)))</f>
        <v>Google sign-in works on staging and is ready for production URIs</v>
      </c>
      <c r="N44" t="str">
        <f>IF($S44="","",IF(INDEX('Master Tracker'!$N$6:$N$400,$S44)="","",INDEX('Master Tracker'!$N$6:$N$400,$S44)))</f>
        <v>New and existing user sign-in; cancel flow</v>
      </c>
      <c r="O44" t="str">
        <f>IF($S44="","",IF(INDEX('Master Tracker'!$T$6:$T$400,$S44)="","",INDEX('Master Tracker'!$T$6:$T$400,$S44)))</f>
        <v>Not Tested</v>
      </c>
      <c r="P44" t="str">
        <f>IF($S44="","",IF(INDEX('Master Tracker'!$AC$6:$AC$400,$S44)="","",INDEX('Master Tracker'!$AC$6:$AC$400,$S44)))</f>
        <v>External req.</v>
      </c>
      <c r="S44">
        <f>IFERROR(MATCH("Phase 5|"&amp;A44,'Master Tracker'!$Z$6:$Z$400,0),"")</f>
        <v>74</v>
      </c>
    </row>
    <row r="45">
      <c r="A45">
        <v>6</v>
      </c>
      <c r="B45" t="str">
        <f>IF($S45="","",IF(INDEX('Master Tracker'!$A$6:$A$400,$S45)="","",INDEX('Master Tracker'!$A$6:$A$400,$S45)))</f>
        <v>P5-06</v>
      </c>
      <c r="C45" t="str">
        <f>IF($S45="","",IF(INDEX('Master Tracker'!$C$6:$C$400,$S45)="","",INDEX('Master Tracker'!$C$6:$C$400,$S45)))</f>
        <v>Authentication</v>
      </c>
      <c r="D45" t="str">
        <f>IF($S45="","",IF(INDEX('Master Tracker'!$D$6:$D$400,$S45)="","",INDEX('Master Tracker'!$D$6:$D$400,$S45)))</f>
        <v>Sign in with Apple</v>
      </c>
      <c r="E45" t="str">
        <f>IF($S45="","",IF(INDEX('Master Tracker'!$F$6:$F$400,$S45)="","",INDEX('Master Tracker'!$F$6:$F$400,$S45)))</f>
        <v>P2</v>
      </c>
      <c r="F45" t="str">
        <f>IF($S45="","",IF(INDEX('Master Tracker'!$G$6:$G$400,$S45)="","",INDEX('Master Tracker'!$G$6:$G$400,$S45)))</f>
        <v>Not Started</v>
      </c>
      <c r="G45">
        <f>IF($S45="","",IF(INDEX('Master Tracker'!$H$6:$H$400,$S45)="","",INDEX('Master Tracker'!$H$6:$H$400,$S45)))</f>
        <v>46318</v>
      </c>
      <c r="H45">
        <f>IF($S45="","",IF(INDEX('Master Tracker'!$I$6:$I$400,$S45)="","",INDEX('Master Tracker'!$I$6:$I$400,$S45)))</f>
        <v>46318</v>
      </c>
      <c r="I45">
        <f>IF($S45="","",IF(INDEX('Master Tracker'!$U$6:$U$400,$S45)="","",INDEX('Master Tracker'!$U$6:$U$400,$S45)))</f>
        <v>0</v>
      </c>
      <c r="J45" t="str">
        <f>IF($S45="","",IF(INDEX('Master Tracker'!$K$6:$K$400,$S45)="","",INDEX('Master Tracker'!$K$6:$K$400,$S45)))</f>
        <v>P5-02, P5-04</v>
      </c>
      <c r="K45" t="str">
        <f>IF($S45="","",IF(INDEX('Master Tracker'!$Y$6:$Y$400,$S45)="","",INDEX('Master Tracker'!$Y$6:$Y$400,$S45)))</f>
        <v>⏳ 2 open</v>
      </c>
      <c r="L45" t="str">
        <f>IF($S45="","",IF(INDEX('Master Tracker'!$M$6:$M$400,$S45)="","",INDEX('Master Tracker'!$M$6:$M$400,$S45)))</f>
        <v>inc/auth/social-apple.php</v>
      </c>
      <c r="M45" t="str">
        <f>IF($S45="","",IF(INDEX('Master Tracker'!$O$6:$O$400,$S45)="","",INDEX('Master Tracker'!$O$6:$O$400,$S45)))</f>
        <v>Apple sign-in works including private relay emails</v>
      </c>
      <c r="N45" t="str">
        <f>IF($S45="","",IF(INDEX('Master Tracker'!$N$6:$N$400,$S45)="","",INDEX('Master Tracker'!$N$6:$N$400,$S45)))</f>
        <v>Sign in on Safari iOS &amp; desktop; hide-my-email case</v>
      </c>
      <c r="O45" t="str">
        <f>IF($S45="","",IF(INDEX('Master Tracker'!$T$6:$T$400,$S45)="","",INDEX('Master Tracker'!$T$6:$T$400,$S45)))</f>
        <v>Not Tested</v>
      </c>
      <c r="P45" t="str">
        <f>IF($S45="","",IF(INDEX('Master Tracker'!$AC$6:$AC$400,$S45)="","",INDEX('Master Tracker'!$AC$6:$AC$400,$S45)))</f>
        <v>External req.</v>
      </c>
      <c r="S45">
        <f>IFERROR(MATCH("Phase 5|"&amp;A45,'Master Tracker'!$Z$6:$Z$400,0),"")</f>
        <v>75</v>
      </c>
    </row>
    <row r="46">
      <c r="A46">
        <v>7</v>
      </c>
      <c r="B46" t="str">
        <f>IF($S46="","",IF(INDEX('Master Tracker'!$A$6:$A$400,$S46)="","",INDEX('Master Tracker'!$A$6:$A$400,$S46)))</f>
        <v>P5-07</v>
      </c>
      <c r="C46" t="str">
        <f>IF($S46="","",IF(INDEX('Master Tracker'!$C$6:$C$400,$S46)="","",INDEX('Master Tracker'!$C$6:$C$400,$S46)))</f>
        <v>Subscriptions</v>
      </c>
      <c r="D46" t="str">
        <f>IF($S46="","",IF(INDEX('Master Tracker'!$D$6:$D$400,$S46)="","",INDEX('Master Tracker'!$D$6:$D$400,$S46)))</f>
        <v>Subscription tiers model</v>
      </c>
      <c r="E46" t="str">
        <f>IF($S46="","",IF(INDEX('Master Tracker'!$F$6:$F$400,$S46)="","",INDEX('Master Tracker'!$F$6:$F$400,$S46)))</f>
        <v>P0</v>
      </c>
      <c r="F46" t="str">
        <f>IF($S46="","",IF(INDEX('Master Tracker'!$G$6:$G$400,$S46)="","",INDEX('Master Tracker'!$G$6:$G$400,$S46)))</f>
        <v>Not Started</v>
      </c>
      <c r="G46">
        <f>IF($S46="","",IF(INDEX('Master Tracker'!$H$6:$H$400,$S46)="","",INDEX('Master Tracker'!$H$6:$H$400,$S46)))</f>
        <v>46318</v>
      </c>
      <c r="H46">
        <f>IF($S46="","",IF(INDEX('Master Tracker'!$I$6:$I$400,$S46)="","",INDEX('Master Tracker'!$I$6:$I$400,$S46)))</f>
        <v>46318</v>
      </c>
      <c r="I46">
        <f>IF($S46="","",IF(INDEX('Master Tracker'!$U$6:$U$400,$S46)="","",INDEX('Master Tracker'!$U$6:$U$400,$S46)))</f>
        <v>0</v>
      </c>
      <c r="J46" t="str">
        <f>IF($S46="","",IF(INDEX('Master Tracker'!$K$6:$K$400,$S46)="","",INDEX('Master Tracker'!$K$6:$K$400,$S46)))</f>
        <v>P5-04</v>
      </c>
      <c r="K46" t="str">
        <f>IF($S46="","",IF(INDEX('Master Tracker'!$Y$6:$Y$400,$S46)="","",INDEX('Master Tracker'!$Y$6:$Y$400,$S46)))</f>
        <v>⏳ 1 open</v>
      </c>
      <c r="L46" t="str">
        <f>IF($S46="","",IF(INDEX('Master Tracker'!$M$6:$M$400,$S46)="","",INDEX('Master Tracker'!$M$6:$M$400,$S46)))</f>
        <v>inc/subscriptions/tiers.php, page-templates/page-subscribe.php</v>
      </c>
      <c r="M46" t="str">
        <f>IF($S46="","",IF(INDEX('Master Tracker'!$O$6:$O$400,$S46)="","",INDEX('Master Tracker'!$O$6:$O$400,$S46)))</f>
        <v>Tiers control access across issues and content</v>
      </c>
      <c r="N46" t="str">
        <f>IF($S46="","",IF(INDEX('Master Tracker'!$N$6:$N$400,$S46)="","",INDEX('Master Tracker'!$N$6:$N$400,$S46)))</f>
        <v>Assign each tier manually; check entitlements</v>
      </c>
      <c r="O46" t="str">
        <f>IF($S46="","",IF(INDEX('Master Tracker'!$T$6:$T$400,$S46)="","",INDEX('Master Tracker'!$T$6:$T$400,$S46)))</f>
        <v>Not Tested</v>
      </c>
      <c r="P46" t="str">
        <f>IF($S46="","",IF(INDEX('Master Tracker'!$AC$6:$AC$400,$S46)="","",INDEX('Master Tracker'!$AC$6:$AC$400,$S46)))</f>
        <v>On track</v>
      </c>
      <c r="S46">
        <f>IFERROR(MATCH("Phase 5|"&amp;A46,'Master Tracker'!$Z$6:$Z$400,0),"")</f>
        <v>76</v>
      </c>
    </row>
    <row r="47">
      <c r="A47">
        <v>8</v>
      </c>
      <c r="B47" t="str">
        <f>IF($S47="","",IF(INDEX('Master Tracker'!$A$6:$A$400,$S47)="","",INDEX('Master Tracker'!$A$6:$A$400,$S47)))</f>
        <v>P5-08</v>
      </c>
      <c r="C47" t="str">
        <f>IF($S47="","",IF(INDEX('Master Tracker'!$C$6:$C$400,$S47)="","",INDEX('Master Tracker'!$C$6:$C$400,$S47)))</f>
        <v>Payments</v>
      </c>
      <c r="D47" t="str">
        <f>IF($S47="","",IF(INDEX('Master Tracker'!$D$6:$D$400,$S47)="","",INDEX('Master Tracker'!$D$6:$D$400,$S47)))</f>
        <v>Payment gateway checkout integration</v>
      </c>
      <c r="E47" t="str">
        <f>IF($S47="","",IF(INDEX('Master Tracker'!$F$6:$F$400,$S47)="","",INDEX('Master Tracker'!$F$6:$F$400,$S47)))</f>
        <v>P0</v>
      </c>
      <c r="F47" t="str">
        <f>IF($S47="","",IF(INDEX('Master Tracker'!$G$6:$G$400,$S47)="","",INDEX('Master Tracker'!$G$6:$G$400,$S47)))</f>
        <v>Not Started</v>
      </c>
      <c r="G47">
        <f>IF($S47="","",IF(INDEX('Master Tracker'!$H$6:$H$400,$S47)="","",INDEX('Master Tracker'!$H$6:$H$400,$S47)))</f>
        <v>46318</v>
      </c>
      <c r="H47">
        <f>IF($S47="","",IF(INDEX('Master Tracker'!$I$6:$I$400,$S47)="","",INDEX('Master Tracker'!$I$6:$I$400,$S47)))</f>
        <v>46319</v>
      </c>
      <c r="I47">
        <f>IF($S47="","",IF(INDEX('Master Tracker'!$U$6:$U$400,$S47)="","",INDEX('Master Tracker'!$U$6:$U$400,$S47)))</f>
        <v>0</v>
      </c>
      <c r="J47" t="str">
        <f>IF($S47="","",IF(INDEX('Master Tracker'!$K$6:$K$400,$S47)="","",INDEX('Master Tracker'!$K$6:$K$400,$S47)))</f>
        <v>P5-03, P5-07</v>
      </c>
      <c r="K47" t="str">
        <f>IF($S47="","",IF(INDEX('Master Tracker'!$Y$6:$Y$400,$S47)="","",INDEX('Master Tracker'!$Y$6:$Y$400,$S47)))</f>
        <v>⏳ 2 open</v>
      </c>
      <c r="L47" t="str">
        <f>IF($S47="","",IF(INDEX('Master Tracker'!$M$6:$M$400,$S47)="","",INDEX('Master Tracker'!$M$6:$M$400,$S47)))</f>
        <v>inc/payments/gateway.php</v>
      </c>
      <c r="M47" t="str">
        <f>IF($S47="","",IF(INDEX('Master Tracker'!$O$6:$O$400,$S47)="","",INDEX('Master Tracker'!$O$6:$O$400,$S47)))</f>
        <v>Paid checkout activates correct tier in sandbox</v>
      </c>
      <c r="N47" t="str">
        <f>IF($S47="","",IF(INDEX('Master Tracker'!$N$6:$N$400,$S47)="","",INDEX('Master Tracker'!$N$6:$N$400,$S47)))</f>
        <v>Sandbox: success, decline, cancel</v>
      </c>
      <c r="O47" t="str">
        <f>IF($S47="","",IF(INDEX('Master Tracker'!$T$6:$T$400,$S47)="","",INDEX('Master Tracker'!$T$6:$T$400,$S47)))</f>
        <v>Not Tested</v>
      </c>
      <c r="P47" t="str">
        <f>IF($S47="","",IF(INDEX('Master Tracker'!$AC$6:$AC$400,$S47)="","",INDEX('Master Tracker'!$AC$6:$AC$400,$S47)))</f>
        <v>External req.</v>
      </c>
      <c r="S47">
        <f>IFERROR(MATCH("Phase 5|"&amp;A47,'Master Tracker'!$Z$6:$Z$400,0),"")</f>
        <v>77</v>
      </c>
    </row>
    <row r="48">
      <c r="A48">
        <v>9</v>
      </c>
      <c r="B48" t="str">
        <f>IF($S48="","",IF(INDEX('Master Tracker'!$A$6:$A$400,$S48)="","",INDEX('Master Tracker'!$A$6:$A$400,$S48)))</f>
        <v>P5-09</v>
      </c>
      <c r="C48" t="str">
        <f>IF($S48="","",IF(INDEX('Master Tracker'!$C$6:$C$400,$S48)="","",INDEX('Master Tracker'!$C$6:$C$400,$S48)))</f>
        <v>Payments</v>
      </c>
      <c r="D48" t="str">
        <f>IF($S48="","",IF(INDEX('Master Tracker'!$D$6:$D$400,$S48)="","",INDEX('Master Tracker'!$D$6:$D$400,$S48)))</f>
        <v>Payment webhooks</v>
      </c>
      <c r="E48" t="str">
        <f>IF($S48="","",IF(INDEX('Master Tracker'!$F$6:$F$400,$S48)="","",INDEX('Master Tracker'!$F$6:$F$400,$S48)))</f>
        <v>P0</v>
      </c>
      <c r="F48" t="str">
        <f>IF($S48="","",IF(INDEX('Master Tracker'!$G$6:$G$400,$S48)="","",INDEX('Master Tracker'!$G$6:$G$400,$S48)))</f>
        <v>Not Started</v>
      </c>
      <c r="G48">
        <f>IF($S48="","",IF(INDEX('Master Tracker'!$H$6:$H$400,$S48)="","",INDEX('Master Tracker'!$H$6:$H$400,$S48)))</f>
        <v>46319</v>
      </c>
      <c r="H48">
        <f>IF($S48="","",IF(INDEX('Master Tracker'!$I$6:$I$400,$S48)="","",INDEX('Master Tracker'!$I$6:$I$400,$S48)))</f>
        <v>46319</v>
      </c>
      <c r="I48">
        <f>IF($S48="","",IF(INDEX('Master Tracker'!$U$6:$U$400,$S48)="","",INDEX('Master Tracker'!$U$6:$U$400,$S48)))</f>
        <v>0</v>
      </c>
      <c r="J48" t="str">
        <f>IF($S48="","",IF(INDEX('Master Tracker'!$K$6:$K$400,$S48)="","",INDEX('Master Tracker'!$K$6:$K$400,$S48)))</f>
        <v>P5-08</v>
      </c>
      <c r="K48" t="str">
        <f>IF($S48="","",IF(INDEX('Master Tracker'!$Y$6:$Y$400,$S48)="","",INDEX('Master Tracker'!$Y$6:$Y$400,$S48)))</f>
        <v>⏳ 1 open</v>
      </c>
      <c r="L48" t="str">
        <f>IF($S48="","",IF(INDEX('Master Tracker'!$M$6:$M$400,$S48)="","",INDEX('Master Tracker'!$M$6:$M$400,$S48)))</f>
        <v>inc/payments/webhook.php</v>
      </c>
      <c r="M48" t="str">
        <f>IF($S48="","",IF(INDEX('Master Tracker'!$O$6:$O$400,$S48)="","",INDEX('Master Tracker'!$O$6:$O$400,$S48)))</f>
        <v>Subscription state always matches gateway; duplicates ignored</v>
      </c>
      <c r="N48" t="str">
        <f>IF($S48="","",IF(INDEX('Master Tracker'!$N$6:$N$400,$S48)="","",INDEX('Master Tracker'!$N$6:$N$400,$S48)))</f>
        <v>Replay same event twice; tampered signature rejected</v>
      </c>
      <c r="O48" t="str">
        <f>IF($S48="","",IF(INDEX('Master Tracker'!$T$6:$T$400,$S48)="","",INDEX('Master Tracker'!$T$6:$T$400,$S48)))</f>
        <v>Not Tested</v>
      </c>
      <c r="P48" t="str">
        <f>IF($S48="","",IF(INDEX('Master Tracker'!$AC$6:$AC$400,$S48)="","",INDEX('Master Tracker'!$AC$6:$AC$400,$S48)))</f>
        <v>External req.</v>
      </c>
      <c r="S48">
        <f>IFERROR(MATCH("Phase 5|"&amp;A48,'Master Tracker'!$Z$6:$Z$400,0),"")</f>
        <v>78</v>
      </c>
    </row>
    <row r="49">
      <c r="A49">
        <v>10</v>
      </c>
      <c r="B49" t="str">
        <f>IF($S49="","",IF(INDEX('Master Tracker'!$A$6:$A$400,$S49)="","",INDEX('Master Tracker'!$A$6:$A$400,$S49)))</f>
        <v>P5-10</v>
      </c>
      <c r="C49" t="str">
        <f>IF($S49="","",IF(INDEX('Master Tracker'!$C$6:$C$400,$S49)="","",INDEX('Master Tracker'!$C$6:$C$400,$S49)))</f>
        <v>Subscriptions</v>
      </c>
      <c r="D49" t="str">
        <f>IF($S49="","",IF(INDEX('Master Tracker'!$D$6:$D$400,$S49)="","",INDEX('Master Tracker'!$D$6:$D$400,$S49)))</f>
        <v>Renewal, expiry &amp; notification emails</v>
      </c>
      <c r="E49" t="str">
        <f>IF($S49="","",IF(INDEX('Master Tracker'!$F$6:$F$400,$S49)="","",INDEX('Master Tracker'!$F$6:$F$400,$S49)))</f>
        <v>P1</v>
      </c>
      <c r="F49" t="str">
        <f>IF($S49="","",IF(INDEX('Master Tracker'!$G$6:$G$400,$S49)="","",INDEX('Master Tracker'!$G$6:$G$400,$S49)))</f>
        <v>Not Started</v>
      </c>
      <c r="G49">
        <f>IF($S49="","",IF(INDEX('Master Tracker'!$H$6:$H$400,$S49)="","",INDEX('Master Tracker'!$H$6:$H$400,$S49)))</f>
        <v>46319</v>
      </c>
      <c r="H49">
        <f>IF($S49="","",IF(INDEX('Master Tracker'!$I$6:$I$400,$S49)="","",INDEX('Master Tracker'!$I$6:$I$400,$S49)))</f>
        <v>46319</v>
      </c>
      <c r="I49">
        <f>IF($S49="","",IF(INDEX('Master Tracker'!$U$6:$U$400,$S49)="","",INDEX('Master Tracker'!$U$6:$U$400,$S49)))</f>
        <v>0</v>
      </c>
      <c r="J49" t="str">
        <f>IF($S49="","",IF(INDEX('Master Tracker'!$K$6:$K$400,$S49)="","",INDEX('Master Tracker'!$K$6:$K$400,$S49)))</f>
        <v>P5-09, P5-13</v>
      </c>
      <c r="K49" t="str">
        <f>IF($S49="","",IF(INDEX('Master Tracker'!$Y$6:$Y$400,$S49)="","",INDEX('Master Tracker'!$Y$6:$Y$400,$S49)))</f>
        <v>⏳ 2 open</v>
      </c>
      <c r="L49" t="str">
        <f>IF($S49="","",IF(INDEX('Master Tracker'!$M$6:$M$400,$S49)="","",INDEX('Master Tracker'!$M$6:$M$400,$S49)))</f>
        <v>inc/subscriptions/cron.php</v>
      </c>
      <c r="M49" t="str">
        <f>IF($S49="","",IF(INDEX('Master Tracker'!$O$6:$O$400,$S49)="","",INDEX('Master Tracker'!$O$6:$O$400,$S49)))</f>
        <v>Expired users lose access; reminders sent</v>
      </c>
      <c r="N49" t="str">
        <f>IF($S49="","",IF(INDEX('Master Tracker'!$N$6:$N$400,$S49)="","",INDEX('Master Tracker'!$N$6:$N$400,$S49)))</f>
        <v>Force-expire a test user; check emails</v>
      </c>
      <c r="O49" t="str">
        <f>IF($S49="","",IF(INDEX('Master Tracker'!$T$6:$T$400,$S49)="","",INDEX('Master Tracker'!$T$6:$T$400,$S49)))</f>
        <v>Not Tested</v>
      </c>
      <c r="P49" t="str">
        <f>IF($S49="","",IF(INDEX('Master Tracker'!$AC$6:$AC$400,$S49)="","",INDEX('Master Tracker'!$AC$6:$AC$400,$S49)))</f>
        <v>On track</v>
      </c>
      <c r="S49">
        <f>IFERROR(MATCH("Phase 5|"&amp;A49,'Master Tracker'!$Z$6:$Z$400,0),"")</f>
        <v>79</v>
      </c>
    </row>
    <row r="50">
      <c r="A50">
        <v>11</v>
      </c>
      <c r="B50" t="str">
        <f>IF($S50="","",IF(INDEX('Master Tracker'!$A$6:$A$400,$S50)="","",INDEX('Master Tracker'!$A$6:$A$400,$S50)))</f>
        <v>P5-11</v>
      </c>
      <c r="C50" t="str">
        <f>IF($S50="","",IF(INDEX('Master Tracker'!$C$6:$C$400,$S50)="","",INDEX('Master Tracker'!$C$6:$C$400,$S50)))</f>
        <v>Member Dashboard</v>
      </c>
      <c r="D50" t="str">
        <f>IF($S50="","",IF(INDEX('Master Tracker'!$D$6:$D$400,$S50)="","",INDEX('Master Tracker'!$D$6:$D$400,$S50)))</f>
        <v>Member dashboard</v>
      </c>
      <c r="E50" t="str">
        <f>IF($S50="","",IF(INDEX('Master Tracker'!$F$6:$F$400,$S50)="","",INDEX('Master Tracker'!$F$6:$F$400,$S50)))</f>
        <v>P0</v>
      </c>
      <c r="F50" t="str">
        <f>IF($S50="","",IF(INDEX('Master Tracker'!$G$6:$G$400,$S50)="","",INDEX('Master Tracker'!$G$6:$G$400,$S50)))</f>
        <v>Not Started</v>
      </c>
      <c r="G50">
        <f>IF($S50="","",IF(INDEX('Master Tracker'!$H$6:$H$400,$S50)="","",INDEX('Master Tracker'!$H$6:$H$400,$S50)))</f>
        <v>46319</v>
      </c>
      <c r="H50">
        <f>IF($S50="","",IF(INDEX('Master Tracker'!$I$6:$I$400,$S50)="","",INDEX('Master Tracker'!$I$6:$I$400,$S50)))</f>
        <v>46319</v>
      </c>
      <c r="I50">
        <f>IF($S50="","",IF(INDEX('Master Tracker'!$U$6:$U$400,$S50)="","",INDEX('Master Tracker'!$U$6:$U$400,$S50)))</f>
        <v>0</v>
      </c>
      <c r="J50" t="str">
        <f>IF($S50="","",IF(INDEX('Master Tracker'!$K$6:$K$400,$S50)="","",INDEX('Master Tracker'!$K$6:$K$400,$S50)))</f>
        <v>P5-04, P5-07</v>
      </c>
      <c r="K50" t="str">
        <f>IF($S50="","",IF(INDEX('Master Tracker'!$Y$6:$Y$400,$S50)="","",INDEX('Master Tracker'!$Y$6:$Y$400,$S50)))</f>
        <v>⏳ 2 open</v>
      </c>
      <c r="L50" t="str">
        <f>IF($S50="","",IF(INDEX('Master Tracker'!$M$6:$M$400,$S50)="","",INDEX('Master Tracker'!$M$6:$M$400,$S50)))</f>
        <v>page-templates/page-account.php</v>
      </c>
      <c r="M50" t="str">
        <f>IF($S50="","",IF(INDEX('Master Tracker'!$O$6:$O$400,$S50)="","",INDEX('Master Tracker'!$O$6:$O$400,$S50)))</f>
        <v>Members manage account and see entitlements</v>
      </c>
      <c r="N50" t="str">
        <f>IF($S50="","",IF(INDEX('Master Tracker'!$N$6:$N$400,$S50)="","",INDEX('Master Tracker'!$N$6:$N$400,$S50)))</f>
        <v>Check as free, member and subscriber</v>
      </c>
      <c r="O50" t="str">
        <f>IF($S50="","",IF(INDEX('Master Tracker'!$T$6:$T$400,$S50)="","",INDEX('Master Tracker'!$T$6:$T$400,$S50)))</f>
        <v>Not Tested</v>
      </c>
      <c r="P50" t="str">
        <f>IF($S50="","",IF(INDEX('Master Tracker'!$AC$6:$AC$400,$S50)="","",INDEX('Master Tracker'!$AC$6:$AC$400,$S50)))</f>
        <v>On track</v>
      </c>
      <c r="S50">
        <f>IFERROR(MATCH("Phase 5|"&amp;A50,'Master Tracker'!$Z$6:$Z$400,0),"")</f>
        <v>80</v>
      </c>
    </row>
    <row r="51">
      <c r="A51">
        <v>12</v>
      </c>
      <c r="B51" t="str">
        <f>IF($S51="","",IF(INDEX('Master Tracker'!$A$6:$A$400,$S51)="","",INDEX('Master Tracker'!$A$6:$A$400,$S51)))</f>
        <v>P5-12</v>
      </c>
      <c r="C51" t="str">
        <f>IF($S51="","",IF(INDEX('Master Tracker'!$C$6:$C$400,$S51)="","",INDEX('Master Tracker'!$C$6:$C$400,$S51)))</f>
        <v>Security</v>
      </c>
      <c r="D51" t="str">
        <f>IF($S51="","",IF(INDEX('Master Tracker'!$D$6:$D$400,$S51)="","",INDEX('Master Tracker'!$D$6:$D$400,$S51)))</f>
        <v>Security hardening &amp; rate limiting</v>
      </c>
      <c r="E51" t="str">
        <f>IF($S51="","",IF(INDEX('Master Tracker'!$F$6:$F$400,$S51)="","",INDEX('Master Tracker'!$F$6:$F$400,$S51)))</f>
        <v>P0</v>
      </c>
      <c r="F51" t="str">
        <f>IF($S51="","",IF(INDEX('Master Tracker'!$G$6:$G$400,$S51)="","",INDEX('Master Tracker'!$G$6:$G$400,$S51)))</f>
        <v>Not Started</v>
      </c>
      <c r="G51">
        <f>IF($S51="","",IF(INDEX('Master Tracker'!$H$6:$H$400,$S51)="","",INDEX('Master Tracker'!$H$6:$H$400,$S51)))</f>
        <v>46319</v>
      </c>
      <c r="H51">
        <f>IF($S51="","",IF(INDEX('Master Tracker'!$I$6:$I$400,$S51)="","",INDEX('Master Tracker'!$I$6:$I$400,$S51)))</f>
        <v>46319</v>
      </c>
      <c r="I51">
        <f>IF($S51="","",IF(INDEX('Master Tracker'!$U$6:$U$400,$S51)="","",INDEX('Master Tracker'!$U$6:$U$400,$S51)))</f>
        <v>0</v>
      </c>
      <c r="J51" t="str">
        <f>IF($S51="","",IF(INDEX('Master Tracker'!$K$6:$K$400,$S51)="","",INDEX('Master Tracker'!$K$6:$K$400,$S51)))</f>
        <v>P5-04</v>
      </c>
      <c r="K51" t="str">
        <f>IF($S51="","",IF(INDEX('Master Tracker'!$Y$6:$Y$400,$S51)="","",INDEX('Master Tracker'!$Y$6:$Y$400,$S51)))</f>
        <v>⏳ 1 open</v>
      </c>
      <c r="L51" t="str">
        <f>IF($S51="","",IF(INDEX('Master Tracker'!$M$6:$M$400,$S51)="","",INDEX('Master Tracker'!$M$6:$M$400,$S51)))</f>
        <v>inc/security.php</v>
      </c>
      <c r="M51" t="str">
        <f>IF($S51="","",IF(INDEX('Master Tracker'!$O$6:$O$400,$S51)="","",INDEX('Master Tracker'!$O$6:$O$400,$S51)))</f>
        <v>Abuse throttled; no user enumeration; forms CSRF-safe</v>
      </c>
      <c r="N51" t="str">
        <f>IF($S51="","",IF(INDEX('Master Tracker'!$N$6:$N$400,$S51)="","",INDEX('Master Tracker'!$N$6:$N$400,$S51)))</f>
        <v>Brute-force 10 attempts → lockout; CSRF test without nonce</v>
      </c>
      <c r="O51" t="str">
        <f>IF($S51="","",IF(INDEX('Master Tracker'!$T$6:$T$400,$S51)="","",INDEX('Master Tracker'!$T$6:$T$400,$S51)))</f>
        <v>Not Tested</v>
      </c>
      <c r="P51" t="str">
        <f>IF($S51="","",IF(INDEX('Master Tracker'!$AC$6:$AC$400,$S51)="","",INDEX('Master Tracker'!$AC$6:$AC$400,$S51)))</f>
        <v>On track</v>
      </c>
      <c r="S51">
        <f>IFERROR(MATCH("Phase 5|"&amp;A51,'Master Tracker'!$Z$6:$Z$400,0),"")</f>
        <v>81</v>
      </c>
    </row>
    <row r="52">
      <c r="A52">
        <v>13</v>
      </c>
      <c r="B52" t="str">
        <f>IF($S52="","",IF(INDEX('Master Tracker'!$A$6:$A$400,$S52)="","",INDEX('Master Tracker'!$A$6:$A$400,$S52)))</f>
        <v>P5-13</v>
      </c>
      <c r="C52" t="str">
        <f>IF($S52="","",IF(INDEX('Master Tracker'!$C$6:$C$400,$S52)="","",INDEX('Master Tracker'!$C$6:$C$400,$S52)))</f>
        <v>Email</v>
      </c>
      <c r="D52" t="str">
        <f>IF($S52="","",IF(INDEX('Master Tracker'!$D$6:$D$400,$S52)="","",INDEX('Master Tracker'!$D$6:$D$400,$S52)))</f>
        <v>SMTP / transactional email setup</v>
      </c>
      <c r="E52" t="str">
        <f>IF($S52="","",IF(INDEX('Master Tracker'!$F$6:$F$400,$S52)="","",INDEX('Master Tracker'!$F$6:$F$400,$S52)))</f>
        <v>P0</v>
      </c>
      <c r="F52" t="str">
        <f>IF($S52="","",IF(INDEX('Master Tracker'!$G$6:$G$400,$S52)="","",INDEX('Master Tracker'!$G$6:$G$400,$S52)))</f>
        <v>Not Started</v>
      </c>
      <c r="G52">
        <f>IF($S52="","",IF(INDEX('Master Tracker'!$H$6:$H$400,$S52)="","",INDEX('Master Tracker'!$H$6:$H$400,$S52)))</f>
        <v>46319</v>
      </c>
      <c r="H52">
        <f>IF($S52="","",IF(INDEX('Master Tracker'!$I$6:$I$400,$S52)="","",INDEX('Master Tracker'!$I$6:$I$400,$S52)))</f>
        <v>46320</v>
      </c>
      <c r="I52">
        <f>IF($S52="","",IF(INDEX('Master Tracker'!$U$6:$U$400,$S52)="","",INDEX('Master Tracker'!$U$6:$U$400,$S52)))</f>
        <v>0</v>
      </c>
      <c r="J52" t="str">
        <f>IF($S52="","",IF(INDEX('Master Tracker'!$K$6:$K$400,$S52)="","",INDEX('Master Tracker'!$K$6:$K$400,$S52)))</f>
        <v/>
      </c>
      <c r="K52" t="str">
        <f>IF($S52="","",IF(INDEX('Master Tracker'!$Y$6:$Y$400,$S52)="","",INDEX('Master Tracker'!$Y$6:$Y$400,$S52)))</f>
        <v/>
      </c>
      <c r="L52" t="str">
        <f>IF($S52="","",IF(INDEX('Master Tracker'!$M$6:$M$400,$S52)="","",INDEX('Master Tracker'!$M$6:$M$400,$S52)))</f>
        <v>wp-config.php or SMTP plugin settings</v>
      </c>
      <c r="M52" t="str">
        <f>IF($S52="","",IF(INDEX('Master Tracker'!$O$6:$O$400,$S52)="","",INDEX('Master Tracker'!$O$6:$O$400,$S52)))</f>
        <v>Transactional emails delivered to inbox</v>
      </c>
      <c r="N52" t="str">
        <f>IF($S52="","",IF(INDEX('Master Tracker'!$N$6:$N$400,$S52)="","",INDEX('Master Tracker'!$N$6:$N$400,$S52)))</f>
        <v>Send test emails to Gmail/Outlook; check spam</v>
      </c>
      <c r="O52" t="str">
        <f>IF($S52="","",IF(INDEX('Master Tracker'!$T$6:$T$400,$S52)="","",INDEX('Master Tracker'!$T$6:$T$400,$S52)))</f>
        <v>Not Tested</v>
      </c>
      <c r="P52" t="str">
        <f>IF($S52="","",IF(INDEX('Master Tracker'!$AC$6:$AC$400,$S52)="","",INDEX('Master Tracker'!$AC$6:$AC$400,$S52)))</f>
        <v>External req.</v>
      </c>
      <c r="S52">
        <f>IFERROR(MATCH("Phase 5|"&amp;A52,'Master Tracker'!$Z$6:$Z$400,0),"")</f>
        <v>82</v>
      </c>
    </row>
    <row r="53">
      <c r="A53">
        <v>14</v>
      </c>
      <c r="B53" t="str">
        <f>IF($S53="","",IF(INDEX('Master Tracker'!$A$6:$A$400,$S53)="","",INDEX('Master Tracker'!$A$6:$A$400,$S53)))</f>
        <v>P5-14</v>
      </c>
      <c r="C53" t="str">
        <f>IF($S53="","",IF(INDEX('Master Tracker'!$C$6:$C$400,$S53)="","",INDEX('Master Tracker'!$C$6:$C$400,$S53)))</f>
        <v>AdOps</v>
      </c>
      <c r="D53" t="str">
        <f>IF($S53="","",IF(INDEX('Master Tracker'!$D$6:$D$400,$S53)="","",INDEX('Master Tracker'!$D$6:$D$400,$S53)))</f>
        <v>Advertising page</v>
      </c>
      <c r="E53" t="str">
        <f>IF($S53="","",IF(INDEX('Master Tracker'!$F$6:$F$400,$S53)="","",INDEX('Master Tracker'!$F$6:$F$400,$S53)))</f>
        <v>P1</v>
      </c>
      <c r="F53" t="str">
        <f>IF($S53="","",IF(INDEX('Master Tracker'!$G$6:$G$400,$S53)="","",INDEX('Master Tracker'!$G$6:$G$400,$S53)))</f>
        <v>Not Started</v>
      </c>
      <c r="G53">
        <f>IF($S53="","",IF(INDEX('Master Tracker'!$H$6:$H$400,$S53)="","",INDEX('Master Tracker'!$H$6:$H$400,$S53)))</f>
        <v>46320</v>
      </c>
      <c r="H53">
        <f>IF($S53="","",IF(INDEX('Master Tracker'!$I$6:$I$400,$S53)="","",INDEX('Master Tracker'!$I$6:$I$400,$S53)))</f>
        <v>46320</v>
      </c>
      <c r="I53">
        <f>IF($S53="","",IF(INDEX('Master Tracker'!$U$6:$U$400,$S53)="","",INDEX('Master Tracker'!$U$6:$U$400,$S53)))</f>
        <v>0</v>
      </c>
      <c r="J53" t="str">
        <f>IF($S53="","",IF(INDEX('Master Tracker'!$K$6:$K$400,$S53)="","",INDEX('Master Tracker'!$K$6:$K$400,$S53)))</f>
        <v>P1-17</v>
      </c>
      <c r="K53" t="str">
        <f>IF($S53="","",IF(INDEX('Master Tracker'!$Y$6:$Y$400,$S53)="","",INDEX('Master Tracker'!$Y$6:$Y$400,$S53)))</f>
        <v>⏳ 1 open</v>
      </c>
      <c r="L53" t="str">
        <f>IF($S53="","",IF(INDEX('Master Tracker'!$M$6:$M$400,$S53)="","",INDEX('Master Tracker'!$M$6:$M$400,$S53)))</f>
        <v>page-templates/page-advertise.php</v>
      </c>
      <c r="M53" t="str">
        <f>IF($S53="","",IF(INDEX('Master Tracker'!$O$6:$O$400,$S53)="","",INDEX('Master Tracker'!$O$6:$O$400,$S53)))</f>
        <v>Advertising page live with editable content</v>
      </c>
      <c r="N53" t="str">
        <f>IF($S53="","",IF(INDEX('Master Tracker'!$N$6:$N$400,$S53)="","",INDEX('Master Tracker'!$N$6:$N$400,$S53)))</f>
        <v>Content review with client; responsive check</v>
      </c>
      <c r="O53" t="str">
        <f>IF($S53="","",IF(INDEX('Master Tracker'!$T$6:$T$400,$S53)="","",INDEX('Master Tracker'!$T$6:$T$400,$S53)))</f>
        <v>Not Tested</v>
      </c>
      <c r="P53" t="str">
        <f>IF($S53="","",IF(INDEX('Master Tracker'!$AC$6:$AC$400,$S53)="","",INDEX('Master Tracker'!$AC$6:$AC$400,$S53)))</f>
        <v>External req.</v>
      </c>
      <c r="S53">
        <f>IFERROR(MATCH("Phase 5|"&amp;A53,'Master Tracker'!$Z$6:$Z$400,0),"")</f>
        <v>83</v>
      </c>
    </row>
    <row r="54">
      <c r="A54">
        <v>15</v>
      </c>
      <c r="B54" t="str">
        <f>IF($S54="","",IF(INDEX('Master Tracker'!$A$6:$A$400,$S54)="","",INDEX('Master Tracker'!$A$6:$A$400,$S54)))</f>
        <v>P5-15</v>
      </c>
      <c r="C54" t="str">
        <f>IF($S54="","",IF(INDEX('Master Tracker'!$C$6:$C$400,$S54)="","",INDEX('Master Tracker'!$C$6:$C$400,$S54)))</f>
        <v>AdOps</v>
      </c>
      <c r="D54" t="str">
        <f>IF($S54="","",IF(INDEX('Master Tracker'!$D$6:$D$400,$S54)="","",INDEX('Master Tracker'!$D$6:$D$400,$S54)))</f>
        <v>Advertising rate calculator</v>
      </c>
      <c r="E54" t="str">
        <f>IF($S54="","",IF(INDEX('Master Tracker'!$F$6:$F$400,$S54)="","",INDEX('Master Tracker'!$F$6:$F$400,$S54)))</f>
        <v>P1</v>
      </c>
      <c r="F54" t="str">
        <f>IF($S54="","",IF(INDEX('Master Tracker'!$G$6:$G$400,$S54)="","",INDEX('Master Tracker'!$G$6:$G$400,$S54)))</f>
        <v>Not Started</v>
      </c>
      <c r="G54">
        <f>IF($S54="","",IF(INDEX('Master Tracker'!$H$6:$H$400,$S54)="","",INDEX('Master Tracker'!$H$6:$H$400,$S54)))</f>
        <v>46320</v>
      </c>
      <c r="H54">
        <f>IF($S54="","",IF(INDEX('Master Tracker'!$I$6:$I$400,$S54)="","",INDEX('Master Tracker'!$I$6:$I$400,$S54)))</f>
        <v>46320</v>
      </c>
      <c r="I54">
        <f>IF($S54="","",IF(INDEX('Master Tracker'!$U$6:$U$400,$S54)="","",INDEX('Master Tracker'!$U$6:$U$400,$S54)))</f>
        <v>0</v>
      </c>
      <c r="J54" t="str">
        <f>IF($S54="","",IF(INDEX('Master Tracker'!$K$6:$K$400,$S54)="","",INDEX('Master Tracker'!$K$6:$K$400,$S54)))</f>
        <v>P5-14</v>
      </c>
      <c r="K54" t="str">
        <f>IF($S54="","",IF(INDEX('Master Tracker'!$Y$6:$Y$400,$S54)="","",INDEX('Master Tracker'!$Y$6:$Y$400,$S54)))</f>
        <v>⏳ 1 open</v>
      </c>
      <c r="L54" t="str">
        <f>IF($S54="","",IF(INDEX('Master Tracker'!$M$6:$M$400,$S54)="","",INDEX('Master Tracker'!$M$6:$M$400,$S54)))</f>
        <v>assets/js/modules/rate-calculator.js, inc/adops-settings.php</v>
      </c>
      <c r="M54" t="str">
        <f>IF($S54="","",IF(INDEX('Master Tracker'!$O$6:$O$400,$S54)="","",INDEX('Master Tracker'!$O$6:$O$400,$S54)))</f>
        <v>Calculator accurate and admin-configurable</v>
      </c>
      <c r="N54" t="str">
        <f>IF($S54="","",IF(INDEX('Master Tracker'!$N$6:$N$400,$S54)="","",INDEX('Master Tracker'!$N$6:$N$400,$S54)))</f>
        <v>Test edge values; change a rate in admin</v>
      </c>
      <c r="O54" t="str">
        <f>IF($S54="","",IF(INDEX('Master Tracker'!$T$6:$T$400,$S54)="","",INDEX('Master Tracker'!$T$6:$T$400,$S54)))</f>
        <v>Not Tested</v>
      </c>
      <c r="P54" t="str">
        <f>IF($S54="","",IF(INDEX('Master Tracker'!$AC$6:$AC$400,$S54)="","",INDEX('Master Tracker'!$AC$6:$AC$400,$S54)))</f>
        <v>External req.</v>
      </c>
      <c r="S54">
        <f>IFERROR(MATCH("Phase 5|"&amp;A54,'Master Tracker'!$Z$6:$Z$400,0),"")</f>
        <v>84</v>
      </c>
    </row>
    <row r="55">
      <c r="A55">
        <v>16</v>
      </c>
      <c r="B55" t="str">
        <f>IF($S55="","",IF(INDEX('Master Tracker'!$A$6:$A$400,$S55)="","",INDEX('Master Tracker'!$A$6:$A$400,$S55)))</f>
        <v>P5-16</v>
      </c>
      <c r="C55" t="str">
        <f>IF($S55="","",IF(INDEX('Master Tracker'!$C$6:$C$400,$S55)="","",INDEX('Master Tracker'!$C$6:$C$400,$S55)))</f>
        <v>AdOps</v>
      </c>
      <c r="D55" t="str">
        <f>IF($S55="","",IF(INDEX('Master Tracker'!$D$6:$D$400,$S55)="","",INDEX('Master Tracker'!$D$6:$D$400,$S55)))</f>
        <v>Media kit download</v>
      </c>
      <c r="E55" t="str">
        <f>IF($S55="","",IF(INDEX('Master Tracker'!$F$6:$F$400,$S55)="","",INDEX('Master Tracker'!$F$6:$F$400,$S55)))</f>
        <v>P2</v>
      </c>
      <c r="F55" t="str">
        <f>IF($S55="","",IF(INDEX('Master Tracker'!$G$6:$G$400,$S55)="","",INDEX('Master Tracker'!$G$6:$G$400,$S55)))</f>
        <v>Not Started</v>
      </c>
      <c r="G55">
        <f>IF($S55="","",IF(INDEX('Master Tracker'!$H$6:$H$400,$S55)="","",INDEX('Master Tracker'!$H$6:$H$400,$S55)))</f>
        <v>46320</v>
      </c>
      <c r="H55">
        <f>IF($S55="","",IF(INDEX('Master Tracker'!$I$6:$I$400,$S55)="","",INDEX('Master Tracker'!$I$6:$I$400,$S55)))</f>
        <v>46320</v>
      </c>
      <c r="I55">
        <f>IF($S55="","",IF(INDEX('Master Tracker'!$U$6:$U$400,$S55)="","",INDEX('Master Tracker'!$U$6:$U$400,$S55)))</f>
        <v>0</v>
      </c>
      <c r="J55" t="str">
        <f>IF($S55="","",IF(INDEX('Master Tracker'!$K$6:$K$400,$S55)="","",INDEX('Master Tracker'!$K$6:$K$400,$S55)))</f>
        <v>P5-14, P5-17</v>
      </c>
      <c r="K55" t="str">
        <f>IF($S55="","",IF(INDEX('Master Tracker'!$Y$6:$Y$400,$S55)="","",INDEX('Master Tracker'!$Y$6:$Y$400,$S55)))</f>
        <v>⏳ 2 open</v>
      </c>
      <c r="L55" t="str">
        <f>IF($S55="","",IF(INDEX('Master Tracker'!$M$6:$M$400,$S55)="","",INDEX('Master Tracker'!$M$6:$M$400,$S55)))</f>
        <v>page-templates/page-advertise.php</v>
      </c>
      <c r="M55" t="str">
        <f>IF($S55="","",IF(INDEX('Master Tracker'!$O$6:$O$400,$S55)="","",INDEX('Master Tracker'!$O$6:$O$400,$S55)))</f>
        <v>Media kit downloadable and tracked</v>
      </c>
      <c r="N55" t="str">
        <f>IF($S55="","",IF(INDEX('Master Tracker'!$N$6:$N$400,$S55)="","",INDEX('Master Tracker'!$N$6:$N$400,$S55)))</f>
        <v>Download after form submit</v>
      </c>
      <c r="O55" t="str">
        <f>IF($S55="","",IF(INDEX('Master Tracker'!$T$6:$T$400,$S55)="","",INDEX('Master Tracker'!$T$6:$T$400,$S55)))</f>
        <v>Not Tested</v>
      </c>
      <c r="P55" t="str">
        <f>IF($S55="","",IF(INDEX('Master Tracker'!$AC$6:$AC$400,$S55)="","",INDEX('Master Tracker'!$AC$6:$AC$400,$S55)))</f>
        <v>External req.</v>
      </c>
      <c r="S55">
        <f>IFERROR(MATCH("Phase 5|"&amp;A55,'Master Tracker'!$Z$6:$Z$400,0),"")</f>
        <v>85</v>
      </c>
    </row>
    <row r="56">
      <c r="A56">
        <v>17</v>
      </c>
      <c r="B56" t="str">
        <f>IF($S56="","",IF(INDEX('Master Tracker'!$A$6:$A$400,$S56)="","",INDEX('Master Tracker'!$A$6:$A$400,$S56)))</f>
        <v>P5-17</v>
      </c>
      <c r="C56" t="str">
        <f>IF($S56="","",IF(INDEX('Master Tracker'!$C$6:$C$400,$S56)="","",INDEX('Master Tracker'!$C$6:$C$400,$S56)))</f>
        <v>Leads</v>
      </c>
      <c r="D56" t="str">
        <f>IF($S56="","",IF(INDEX('Master Tracker'!$D$6:$D$400,$S56)="","",INDEX('Master Tracker'!$D$6:$D$400,$S56)))</f>
        <v>Lead capture forms</v>
      </c>
      <c r="E56" t="str">
        <f>IF($S56="","",IF(INDEX('Master Tracker'!$F$6:$F$400,$S56)="","",INDEX('Master Tracker'!$F$6:$F$400,$S56)))</f>
        <v>P0</v>
      </c>
      <c r="F56" t="str">
        <f>IF($S56="","",IF(INDEX('Master Tracker'!$G$6:$G$400,$S56)="","",INDEX('Master Tracker'!$G$6:$G$400,$S56)))</f>
        <v>Not Started</v>
      </c>
      <c r="G56">
        <f>IF($S56="","",IF(INDEX('Master Tracker'!$H$6:$H$400,$S56)="","",INDEX('Master Tracker'!$H$6:$H$400,$S56)))</f>
        <v>46320</v>
      </c>
      <c r="H56">
        <f>IF($S56="","",IF(INDEX('Master Tracker'!$I$6:$I$400,$S56)="","",INDEX('Master Tracker'!$I$6:$I$400,$S56)))</f>
        <v>46320</v>
      </c>
      <c r="I56">
        <f>IF($S56="","",IF(INDEX('Master Tracker'!$U$6:$U$400,$S56)="","",INDEX('Master Tracker'!$U$6:$U$400,$S56)))</f>
        <v>0</v>
      </c>
      <c r="J56" t="str">
        <f>IF($S56="","",IF(INDEX('Master Tracker'!$K$6:$K$400,$S56)="","",INDEX('Master Tracker'!$K$6:$K$400,$S56)))</f>
        <v>P5-12, P5-13</v>
      </c>
      <c r="K56" t="str">
        <f>IF($S56="","",IF(INDEX('Master Tracker'!$Y$6:$Y$400,$S56)="","",INDEX('Master Tracker'!$Y$6:$Y$400,$S56)))</f>
        <v>⏳ 2 open</v>
      </c>
      <c r="L56" t="str">
        <f>IF($S56="","",IF(INDEX('Master Tracker'!$M$6:$M$400,$S56)="","",INDEX('Master Tracker'!$M$6:$M$400,$S56)))</f>
        <v>inc/leads.php</v>
      </c>
      <c r="M56" t="str">
        <f>IF($S56="","",IF(INDEX('Master Tracker'!$O$6:$O$400,$S56)="","",INDEX('Master Tracker'!$O$6:$O$400,$S56)))</f>
        <v>Every lead stored and notified; spam blocked</v>
      </c>
      <c r="N56" t="str">
        <f>IF($S56="","",IF(INDEX('Master Tracker'!$N$6:$N$400,$S56)="","",INDEX('Master Tracker'!$N$6:$N$400,$S56)))</f>
        <v>Submit valid/invalid/spam; export CSV</v>
      </c>
      <c r="O56" t="str">
        <f>IF($S56="","",IF(INDEX('Master Tracker'!$T$6:$T$400,$S56)="","",INDEX('Master Tracker'!$T$6:$T$400,$S56)))</f>
        <v>Not Tested</v>
      </c>
      <c r="P56" t="str">
        <f>IF($S56="","",IF(INDEX('Master Tracker'!$AC$6:$AC$400,$S56)="","",INDEX('Master Tracker'!$AC$6:$AC$400,$S56)))</f>
        <v>On track</v>
      </c>
      <c r="S56">
        <f>IFERROR(MATCH("Phase 5|"&amp;A56,'Master Tracker'!$Z$6:$Z$400,0),"")</f>
        <v>86</v>
      </c>
    </row>
    <row r="57">
      <c r="A57">
        <v>18</v>
      </c>
      <c r="B57" t="str">
        <f>IF($S57="","",IF(INDEX('Master Tracker'!$A$6:$A$400,$S57)="","",INDEX('Master Tracker'!$A$6:$A$400,$S57)))</f>
        <v>P5-18</v>
      </c>
      <c r="C57" t="str">
        <f>IF($S57="","",IF(INDEX('Master Tracker'!$C$6:$C$400,$S57)="","",INDEX('Master Tracker'!$C$6:$C$400,$S57)))</f>
        <v>Pages</v>
      </c>
      <c r="D57" t="str">
        <f>IF($S57="","",IF(INDEX('Master Tracker'!$D$6:$D$400,$S57)="","",INDEX('Master Tracker'!$D$6:$D$400,$S57)))</f>
        <v>About page</v>
      </c>
      <c r="E57" t="str">
        <f>IF($S57="","",IF(INDEX('Master Tracker'!$F$6:$F$400,$S57)="","",INDEX('Master Tracker'!$F$6:$F$400,$S57)))</f>
        <v>P1</v>
      </c>
      <c r="F57" t="str">
        <f>IF($S57="","",IF(INDEX('Master Tracker'!$G$6:$G$400,$S57)="","",INDEX('Master Tracker'!$G$6:$G$400,$S57)))</f>
        <v>Not Started</v>
      </c>
      <c r="G57">
        <f>IF($S57="","",IF(INDEX('Master Tracker'!$H$6:$H$400,$S57)="","",INDEX('Master Tracker'!$H$6:$H$400,$S57)))</f>
        <v>46320</v>
      </c>
      <c r="H57">
        <f>IF($S57="","",IF(INDEX('Master Tracker'!$I$6:$I$400,$S57)="","",INDEX('Master Tracker'!$I$6:$I$400,$S57)))</f>
        <v>46320</v>
      </c>
      <c r="I57">
        <f>IF($S57="","",IF(INDEX('Master Tracker'!$U$6:$U$400,$S57)="","",INDEX('Master Tracker'!$U$6:$U$400,$S57)))</f>
        <v>0</v>
      </c>
      <c r="J57" t="str">
        <f>IF($S57="","",IF(INDEX('Master Tracker'!$K$6:$K$400,$S57)="","",INDEX('Master Tracker'!$K$6:$K$400,$S57)))</f>
        <v>P1-17</v>
      </c>
      <c r="K57" t="str">
        <f>IF($S57="","",IF(INDEX('Master Tracker'!$Y$6:$Y$400,$S57)="","",INDEX('Master Tracker'!$Y$6:$Y$400,$S57)))</f>
        <v>⏳ 1 open</v>
      </c>
      <c r="L57" t="str">
        <f>IF($S57="","",IF(INDEX('Master Tracker'!$M$6:$M$400,$S57)="","",INDEX('Master Tracker'!$M$6:$M$400,$S57)))</f>
        <v>page-templates/page-about.php</v>
      </c>
      <c r="M57" t="str">
        <f>IF($S57="","",IF(INDEX('Master Tracker'!$O$6:$O$400,$S57)="","",INDEX('Master Tracker'!$O$6:$O$400,$S57)))</f>
        <v>About page live and editable</v>
      </c>
      <c r="N57" t="str">
        <f>IF($S57="","",IF(INDEX('Master Tracker'!$N$6:$N$400,$S57)="","",INDEX('Master Tracker'!$N$6:$N$400,$S57)))</f>
        <v>Content review; responsive check</v>
      </c>
      <c r="O57" t="str">
        <f>IF($S57="","",IF(INDEX('Master Tracker'!$T$6:$T$400,$S57)="","",INDEX('Master Tracker'!$T$6:$T$400,$S57)))</f>
        <v>Not Tested</v>
      </c>
      <c r="P57" t="str">
        <f>IF($S57="","",IF(INDEX('Master Tracker'!$AC$6:$AC$400,$S57)="","",INDEX('Master Tracker'!$AC$6:$AC$400,$S57)))</f>
        <v>External req.</v>
      </c>
      <c r="S57">
        <f>IFERROR(MATCH("Phase 5|"&amp;A57,'Master Tracker'!$Z$6:$Z$400,0),"")</f>
        <v>87</v>
      </c>
    </row>
    <row r="58">
      <c r="A58">
        <v>19</v>
      </c>
      <c r="B58" t="str">
        <f>IF($S58="","",IF(INDEX('Master Tracker'!$A$6:$A$400,$S58)="","",INDEX('Master Tracker'!$A$6:$A$400,$S58)))</f>
        <v>P5-19</v>
      </c>
      <c r="C58" t="str">
        <f>IF($S58="","",IF(INDEX('Master Tracker'!$C$6:$C$400,$S58)="","",INDEX('Master Tracker'!$C$6:$C$400,$S58)))</f>
        <v>Pages</v>
      </c>
      <c r="D58" t="str">
        <f>IF($S58="","",IF(INDEX('Master Tracker'!$D$6:$D$400,$S58)="","",INDEX('Master Tracker'!$D$6:$D$400,$S58)))</f>
        <v>Contact page</v>
      </c>
      <c r="E58" t="str">
        <f>IF($S58="","",IF(INDEX('Master Tracker'!$F$6:$F$400,$S58)="","",INDEX('Master Tracker'!$F$6:$F$400,$S58)))</f>
        <v>P0</v>
      </c>
      <c r="F58" t="str">
        <f>IF($S58="","",IF(INDEX('Master Tracker'!$G$6:$G$400,$S58)="","",INDEX('Master Tracker'!$G$6:$G$400,$S58)))</f>
        <v>Not Started</v>
      </c>
      <c r="G58">
        <f>IF($S58="","",IF(INDEX('Master Tracker'!$H$6:$H$400,$S58)="","",INDEX('Master Tracker'!$H$6:$H$400,$S58)))</f>
        <v>46320</v>
      </c>
      <c r="H58">
        <f>IF($S58="","",IF(INDEX('Master Tracker'!$I$6:$I$400,$S58)="","",INDEX('Master Tracker'!$I$6:$I$400,$S58)))</f>
        <v>46320</v>
      </c>
      <c r="I58">
        <f>IF($S58="","",IF(INDEX('Master Tracker'!$U$6:$U$400,$S58)="","",INDEX('Master Tracker'!$U$6:$U$400,$S58)))</f>
        <v>0</v>
      </c>
      <c r="J58" t="str">
        <f>IF($S58="","",IF(INDEX('Master Tracker'!$K$6:$K$400,$S58)="","",INDEX('Master Tracker'!$K$6:$K$400,$S58)))</f>
        <v>P5-17</v>
      </c>
      <c r="K58" t="str">
        <f>IF($S58="","",IF(INDEX('Master Tracker'!$Y$6:$Y$400,$S58)="","",INDEX('Master Tracker'!$Y$6:$Y$400,$S58)))</f>
        <v>⏳ 1 open</v>
      </c>
      <c r="L58" t="str">
        <f>IF($S58="","",IF(INDEX('Master Tracker'!$M$6:$M$400,$S58)="","",INDEX('Master Tracker'!$M$6:$M$400,$S58)))</f>
        <v>page-templates/page-contact.php</v>
      </c>
      <c r="M58" t="str">
        <f>IF($S58="","",IF(INDEX('Master Tracker'!$O$6:$O$400,$S58)="","",INDEX('Master Tracker'!$O$6:$O$400,$S58)))</f>
        <v>Contact form works end-to-end</v>
      </c>
      <c r="N58" t="str">
        <f>IF($S58="","",IF(INDEX('Master Tracker'!$N$6:$N$400,$S58)="","",INDEX('Master Tracker'!$N$6:$N$400,$S58)))</f>
        <v>Submit form; check stored entry and email</v>
      </c>
      <c r="O58" t="str">
        <f>IF($S58="","",IF(INDEX('Master Tracker'!$T$6:$T$400,$S58)="","",INDEX('Master Tracker'!$T$6:$T$400,$S58)))</f>
        <v>Not Tested</v>
      </c>
      <c r="P58" t="str">
        <f>IF($S58="","",IF(INDEX('Master Tracker'!$AC$6:$AC$400,$S58)="","",INDEX('Master Tracker'!$AC$6:$AC$400,$S58)))</f>
        <v>On track</v>
      </c>
      <c r="S58">
        <f>IFERROR(MATCH("Phase 5|"&amp;A58,'Master Tracker'!$Z$6:$Z$400,0),"")</f>
        <v>88</v>
      </c>
    </row>
    <row r="59">
      <c r="A59">
        <v>20</v>
      </c>
      <c r="B59" t="str">
        <f>IF($S59="","",IF(INDEX('Master Tracker'!$A$6:$A$400,$S59)="","",INDEX('Master Tracker'!$A$6:$A$400,$S59)))</f>
        <v>P5-20</v>
      </c>
      <c r="C59" t="str">
        <f>IF($S59="","",IF(INDEX('Master Tracker'!$C$6:$C$400,$S59)="","",INDEX('Master Tracker'!$C$6:$C$400,$S59)))</f>
        <v>Roles</v>
      </c>
      <c r="D59" t="str">
        <f>IF($S59="","",IF(INDEX('Master Tracker'!$D$6:$D$400,$S59)="","",INDEX('Master Tracker'!$D$6:$D$400,$S59)))</f>
        <v>Editorial roles &amp; permissions</v>
      </c>
      <c r="E59" t="str">
        <f>IF($S59="","",IF(INDEX('Master Tracker'!$F$6:$F$400,$S59)="","",INDEX('Master Tracker'!$F$6:$F$400,$S59)))</f>
        <v>P0</v>
      </c>
      <c r="F59" t="str">
        <f>IF($S59="","",IF(INDEX('Master Tracker'!$G$6:$G$400,$S59)="","",INDEX('Master Tracker'!$G$6:$G$400,$S59)))</f>
        <v>Not Started</v>
      </c>
      <c r="G59">
        <f>IF($S59="","",IF(INDEX('Master Tracker'!$H$6:$H$400,$S59)="","",INDEX('Master Tracker'!$H$6:$H$400,$S59)))</f>
        <v>46320</v>
      </c>
      <c r="H59">
        <f>IF($S59="","",IF(INDEX('Master Tracker'!$I$6:$I$400,$S59)="","",INDEX('Master Tracker'!$I$6:$I$400,$S59)))</f>
        <v>46320</v>
      </c>
      <c r="I59">
        <f>IF($S59="","",IF(INDEX('Master Tracker'!$U$6:$U$400,$S59)="","",INDEX('Master Tracker'!$U$6:$U$400,$S59)))</f>
        <v>0</v>
      </c>
      <c r="J59" t="str">
        <f>IF($S59="","",IF(INDEX('Master Tracker'!$K$6:$K$400,$S59)="","",INDEX('Master Tracker'!$K$6:$K$400,$S59)))</f>
        <v>P2-02</v>
      </c>
      <c r="K59" t="str">
        <f>IF($S59="","",IF(INDEX('Master Tracker'!$Y$6:$Y$400,$S59)="","",INDEX('Master Tracker'!$Y$6:$Y$400,$S59)))</f>
        <v>⏳ 1 open</v>
      </c>
      <c r="L59" t="str">
        <f>IF($S59="","",IF(INDEX('Master Tracker'!$M$6:$M$400,$S59)="","",INDEX('Master Tracker'!$M$6:$M$400,$S59)))</f>
        <v>inc/roles.php</v>
      </c>
      <c r="M59" t="str">
        <f>IF($S59="","",IF(INDEX('Master Tracker'!$O$6:$O$400,$S59)="","",INDEX('Master Tracker'!$O$6:$O$400,$S59)))</f>
        <v>Each role can do exactly what it needs and nothing more</v>
      </c>
      <c r="N59" t="str">
        <f>IF($S59="","",IF(INDEX('Master Tracker'!$N$6:$N$400,$S59)="","",INDEX('Master Tracker'!$N$6:$N$400,$S59)))</f>
        <v>Log in as each role; attempt forbidden actions</v>
      </c>
      <c r="O59" t="str">
        <f>IF($S59="","",IF(INDEX('Master Tracker'!$T$6:$T$400,$S59)="","",INDEX('Master Tracker'!$T$6:$T$400,$S59)))</f>
        <v>Not Tested</v>
      </c>
      <c r="P59" t="str">
        <f>IF($S59="","",IF(INDEX('Master Tracker'!$AC$6:$AC$400,$S59)="","",INDEX('Master Tracker'!$AC$6:$AC$400,$S59)))</f>
        <v>On track</v>
      </c>
      <c r="S59">
        <f>IFERROR(MATCH("Phase 5|"&amp;A59,'Master Tracker'!$Z$6:$Z$400,0),"")</f>
        <v>89</v>
      </c>
    </row>
    <row r="60">
      <c r="A60">
        <v>21</v>
      </c>
      <c r="B60" t="str">
        <f>IF($S60="","",IF(INDEX('Master Tracker'!$A$6:$A$400,$S60)="","",INDEX('Master Tracker'!$A$6:$A$400,$S60)))</f>
        <v/>
      </c>
      <c r="C60" t="str">
        <f>IF($S60="","",IF(INDEX('Master Tracker'!$C$6:$C$400,$S60)="","",INDEX('Master Tracker'!$C$6:$C$400,$S60)))</f>
        <v/>
      </c>
      <c r="D60" t="str">
        <f>IF($S60="","",IF(INDEX('Master Tracker'!$D$6:$D$400,$S60)="","",INDEX('Master Tracker'!$D$6:$D$400,$S60)))</f>
        <v/>
      </c>
      <c r="E60" t="str">
        <f>IF($S60="","",IF(INDEX('Master Tracker'!$F$6:$F$400,$S60)="","",INDEX('Master Tracker'!$F$6:$F$400,$S60)))</f>
        <v/>
      </c>
      <c r="F60" t="str">
        <f>IF($S60="","",IF(INDEX('Master Tracker'!$G$6:$G$400,$S60)="","",INDEX('Master Tracker'!$G$6:$G$400,$S60)))</f>
        <v/>
      </c>
      <c r="G60" t="str">
        <f>IF($S60="","",IF(INDEX('Master Tracker'!$H$6:$H$400,$S60)="","",INDEX('Master Tracker'!$H$6:$H$400,$S60)))</f>
        <v/>
      </c>
      <c r="H60" t="str">
        <f>IF($S60="","",IF(INDEX('Master Tracker'!$I$6:$I$400,$S60)="","",INDEX('Master Tracker'!$I$6:$I$400,$S60)))</f>
        <v/>
      </c>
      <c r="I60" t="str">
        <f>IF($S60="","",IF(INDEX('Master Tracker'!$U$6:$U$400,$S60)="","",INDEX('Master Tracker'!$U$6:$U$400,$S60)))</f>
        <v/>
      </c>
      <c r="J60" t="str">
        <f>IF($S60="","",IF(INDEX('Master Tracker'!$K$6:$K$400,$S60)="","",INDEX('Master Tracker'!$K$6:$K$400,$S60)))</f>
        <v/>
      </c>
      <c r="K60" t="str">
        <f>IF($S60="","",IF(INDEX('Master Tracker'!$Y$6:$Y$400,$S60)="","",INDEX('Master Tracker'!$Y$6:$Y$400,$S60)))</f>
        <v/>
      </c>
      <c r="L60" t="str">
        <f>IF($S60="","",IF(INDEX('Master Tracker'!$M$6:$M$400,$S60)="","",INDEX('Master Tracker'!$M$6:$M$400,$S60)))</f>
        <v/>
      </c>
      <c r="M60" t="str">
        <f>IF($S60="","",IF(INDEX('Master Tracker'!$O$6:$O$400,$S60)="","",INDEX('Master Tracker'!$O$6:$O$400,$S60)))</f>
        <v/>
      </c>
      <c r="N60" t="str">
        <f>IF($S60="","",IF(INDEX('Master Tracker'!$N$6:$N$400,$S60)="","",INDEX('Master Tracker'!$N$6:$N$400,$S60)))</f>
        <v/>
      </c>
      <c r="O60" t="str">
        <f>IF($S60="","",IF(INDEX('Master Tracker'!$T$6:$T$400,$S60)="","",INDEX('Master Tracker'!$T$6:$T$400,$S60)))</f>
        <v/>
      </c>
      <c r="P60" t="str">
        <f>IF($S60="","",IF(INDEX('Master Tracker'!$AC$6:$AC$400,$S60)="","",INDEX('Master Tracker'!$AC$6:$AC$400,$S60)))</f>
        <v/>
      </c>
      <c r="S60" t="str">
        <f>IFERROR(MATCH("Phase 5|"&amp;A60,'Master Tracker'!$Z$6:$Z$400,0),"")</f>
        <v/>
      </c>
    </row>
    <row r="61">
      <c r="A61">
        <v>22</v>
      </c>
      <c r="B61" t="str">
        <f>IF($S61="","",IF(INDEX('Master Tracker'!$A$6:$A$400,$S61)="","",INDEX('Master Tracker'!$A$6:$A$400,$S61)))</f>
        <v/>
      </c>
      <c r="C61" t="str">
        <f>IF($S61="","",IF(INDEX('Master Tracker'!$C$6:$C$400,$S61)="","",INDEX('Master Tracker'!$C$6:$C$400,$S61)))</f>
        <v/>
      </c>
      <c r="D61" t="str">
        <f>IF($S61="","",IF(INDEX('Master Tracker'!$D$6:$D$400,$S61)="","",INDEX('Master Tracker'!$D$6:$D$400,$S61)))</f>
        <v/>
      </c>
      <c r="E61" t="str">
        <f>IF($S61="","",IF(INDEX('Master Tracker'!$F$6:$F$400,$S61)="","",INDEX('Master Tracker'!$F$6:$F$400,$S61)))</f>
        <v/>
      </c>
      <c r="F61" t="str">
        <f>IF($S61="","",IF(INDEX('Master Tracker'!$G$6:$G$400,$S61)="","",INDEX('Master Tracker'!$G$6:$G$400,$S61)))</f>
        <v/>
      </c>
      <c r="G61" t="str">
        <f>IF($S61="","",IF(INDEX('Master Tracker'!$H$6:$H$400,$S61)="","",INDEX('Master Tracker'!$H$6:$H$400,$S61)))</f>
        <v/>
      </c>
      <c r="H61" t="str">
        <f>IF($S61="","",IF(INDEX('Master Tracker'!$I$6:$I$400,$S61)="","",INDEX('Master Tracker'!$I$6:$I$400,$S61)))</f>
        <v/>
      </c>
      <c r="I61" t="str">
        <f>IF($S61="","",IF(INDEX('Master Tracker'!$U$6:$U$400,$S61)="","",INDEX('Master Tracker'!$U$6:$U$400,$S61)))</f>
        <v/>
      </c>
      <c r="J61" t="str">
        <f>IF($S61="","",IF(INDEX('Master Tracker'!$K$6:$K$400,$S61)="","",INDEX('Master Tracker'!$K$6:$K$400,$S61)))</f>
        <v/>
      </c>
      <c r="K61" t="str">
        <f>IF($S61="","",IF(INDEX('Master Tracker'!$Y$6:$Y$400,$S61)="","",INDEX('Master Tracker'!$Y$6:$Y$400,$S61)))</f>
        <v/>
      </c>
      <c r="L61" t="str">
        <f>IF($S61="","",IF(INDEX('Master Tracker'!$M$6:$M$400,$S61)="","",INDEX('Master Tracker'!$M$6:$M$400,$S61)))</f>
        <v/>
      </c>
      <c r="M61" t="str">
        <f>IF($S61="","",IF(INDEX('Master Tracker'!$O$6:$O$400,$S61)="","",INDEX('Master Tracker'!$O$6:$O$400,$S61)))</f>
        <v/>
      </c>
      <c r="N61" t="str">
        <f>IF($S61="","",IF(INDEX('Master Tracker'!$N$6:$N$400,$S61)="","",INDEX('Master Tracker'!$N$6:$N$400,$S61)))</f>
        <v/>
      </c>
      <c r="O61" t="str">
        <f>IF($S61="","",IF(INDEX('Master Tracker'!$T$6:$T$400,$S61)="","",INDEX('Master Tracker'!$T$6:$T$400,$S61)))</f>
        <v/>
      </c>
      <c r="P61" t="str">
        <f>IF($S61="","",IF(INDEX('Master Tracker'!$AC$6:$AC$400,$S61)="","",INDEX('Master Tracker'!$AC$6:$AC$400,$S61)))</f>
        <v/>
      </c>
      <c r="S61" t="str">
        <f>IFERROR(MATCH("Phase 5|"&amp;A61,'Master Tracker'!$Z$6:$Z$400,0),"")</f>
        <v/>
      </c>
    </row>
    <row r="62">
      <c r="A62">
        <v>23</v>
      </c>
      <c r="B62" t="str">
        <f>IF($S62="","",IF(INDEX('Master Tracker'!$A$6:$A$400,$S62)="","",INDEX('Master Tracker'!$A$6:$A$400,$S62)))</f>
        <v/>
      </c>
      <c r="C62" t="str">
        <f>IF($S62="","",IF(INDEX('Master Tracker'!$C$6:$C$400,$S62)="","",INDEX('Master Tracker'!$C$6:$C$400,$S62)))</f>
        <v/>
      </c>
      <c r="D62" t="str">
        <f>IF($S62="","",IF(INDEX('Master Tracker'!$D$6:$D$400,$S62)="","",INDEX('Master Tracker'!$D$6:$D$400,$S62)))</f>
        <v/>
      </c>
      <c r="E62" t="str">
        <f>IF($S62="","",IF(INDEX('Master Tracker'!$F$6:$F$400,$S62)="","",INDEX('Master Tracker'!$F$6:$F$400,$S62)))</f>
        <v/>
      </c>
      <c r="F62" t="str">
        <f>IF($S62="","",IF(INDEX('Master Tracker'!$G$6:$G$400,$S62)="","",INDEX('Master Tracker'!$G$6:$G$400,$S62)))</f>
        <v/>
      </c>
      <c r="G62" t="str">
        <f>IF($S62="","",IF(INDEX('Master Tracker'!$H$6:$H$400,$S62)="","",INDEX('Master Tracker'!$H$6:$H$400,$S62)))</f>
        <v/>
      </c>
      <c r="H62" t="str">
        <f>IF($S62="","",IF(INDEX('Master Tracker'!$I$6:$I$400,$S62)="","",INDEX('Master Tracker'!$I$6:$I$400,$S62)))</f>
        <v/>
      </c>
      <c r="I62" t="str">
        <f>IF($S62="","",IF(INDEX('Master Tracker'!$U$6:$U$400,$S62)="","",INDEX('Master Tracker'!$U$6:$U$400,$S62)))</f>
        <v/>
      </c>
      <c r="J62" t="str">
        <f>IF($S62="","",IF(INDEX('Master Tracker'!$K$6:$K$400,$S62)="","",INDEX('Master Tracker'!$K$6:$K$400,$S62)))</f>
        <v/>
      </c>
      <c r="K62" t="str">
        <f>IF($S62="","",IF(INDEX('Master Tracker'!$Y$6:$Y$400,$S62)="","",INDEX('Master Tracker'!$Y$6:$Y$400,$S62)))</f>
        <v/>
      </c>
      <c r="L62" t="str">
        <f>IF($S62="","",IF(INDEX('Master Tracker'!$M$6:$M$400,$S62)="","",INDEX('Master Tracker'!$M$6:$M$400,$S62)))</f>
        <v/>
      </c>
      <c r="M62" t="str">
        <f>IF($S62="","",IF(INDEX('Master Tracker'!$O$6:$O$400,$S62)="","",INDEX('Master Tracker'!$O$6:$O$400,$S62)))</f>
        <v/>
      </c>
      <c r="N62" t="str">
        <f>IF($S62="","",IF(INDEX('Master Tracker'!$N$6:$N$400,$S62)="","",INDEX('Master Tracker'!$N$6:$N$400,$S62)))</f>
        <v/>
      </c>
      <c r="O62" t="str">
        <f>IF($S62="","",IF(INDEX('Master Tracker'!$T$6:$T$400,$S62)="","",INDEX('Master Tracker'!$T$6:$T$400,$S62)))</f>
        <v/>
      </c>
      <c r="P62" t="str">
        <f>IF($S62="","",IF(INDEX('Master Tracker'!$AC$6:$AC$400,$S62)="","",INDEX('Master Tracker'!$AC$6:$AC$400,$S62)))</f>
        <v/>
      </c>
      <c r="S62" t="str">
        <f>IFERROR(MATCH("Phase 5|"&amp;A62,'Master Tracker'!$Z$6:$Z$400,0),"")</f>
        <v/>
      </c>
    </row>
    <row r="63">
      <c r="A63">
        <v>24</v>
      </c>
      <c r="B63" t="str">
        <f>IF($S63="","",IF(INDEX('Master Tracker'!$A$6:$A$400,$S63)="","",INDEX('Master Tracker'!$A$6:$A$400,$S63)))</f>
        <v/>
      </c>
      <c r="C63" t="str">
        <f>IF($S63="","",IF(INDEX('Master Tracker'!$C$6:$C$400,$S63)="","",INDEX('Master Tracker'!$C$6:$C$400,$S63)))</f>
        <v/>
      </c>
      <c r="D63" t="str">
        <f>IF($S63="","",IF(INDEX('Master Tracker'!$D$6:$D$400,$S63)="","",INDEX('Master Tracker'!$D$6:$D$400,$S63)))</f>
        <v/>
      </c>
      <c r="E63" t="str">
        <f>IF($S63="","",IF(INDEX('Master Tracker'!$F$6:$F$400,$S63)="","",INDEX('Master Tracker'!$F$6:$F$400,$S63)))</f>
        <v/>
      </c>
      <c r="F63" t="str">
        <f>IF($S63="","",IF(INDEX('Master Tracker'!$G$6:$G$400,$S63)="","",INDEX('Master Tracker'!$G$6:$G$400,$S63)))</f>
        <v/>
      </c>
      <c r="G63" t="str">
        <f>IF($S63="","",IF(INDEX('Master Tracker'!$H$6:$H$400,$S63)="","",INDEX('Master Tracker'!$H$6:$H$400,$S63)))</f>
        <v/>
      </c>
      <c r="H63" t="str">
        <f>IF($S63="","",IF(INDEX('Master Tracker'!$I$6:$I$400,$S63)="","",INDEX('Master Tracker'!$I$6:$I$400,$S63)))</f>
        <v/>
      </c>
      <c r="I63" t="str">
        <f>IF($S63="","",IF(INDEX('Master Tracker'!$U$6:$U$400,$S63)="","",INDEX('Master Tracker'!$U$6:$U$400,$S63)))</f>
        <v/>
      </c>
      <c r="J63" t="str">
        <f>IF($S63="","",IF(INDEX('Master Tracker'!$K$6:$K$400,$S63)="","",INDEX('Master Tracker'!$K$6:$K$400,$S63)))</f>
        <v/>
      </c>
      <c r="K63" t="str">
        <f>IF($S63="","",IF(INDEX('Master Tracker'!$Y$6:$Y$400,$S63)="","",INDEX('Master Tracker'!$Y$6:$Y$400,$S63)))</f>
        <v/>
      </c>
      <c r="L63" t="str">
        <f>IF($S63="","",IF(INDEX('Master Tracker'!$M$6:$M$400,$S63)="","",INDEX('Master Tracker'!$M$6:$M$400,$S63)))</f>
        <v/>
      </c>
      <c r="M63" t="str">
        <f>IF($S63="","",IF(INDEX('Master Tracker'!$O$6:$O$400,$S63)="","",INDEX('Master Tracker'!$O$6:$O$400,$S63)))</f>
        <v/>
      </c>
      <c r="N63" t="str">
        <f>IF($S63="","",IF(INDEX('Master Tracker'!$N$6:$N$400,$S63)="","",INDEX('Master Tracker'!$N$6:$N$400,$S63)))</f>
        <v/>
      </c>
      <c r="O63" t="str">
        <f>IF($S63="","",IF(INDEX('Master Tracker'!$T$6:$T$400,$S63)="","",INDEX('Master Tracker'!$T$6:$T$400,$S63)))</f>
        <v/>
      </c>
      <c r="P63" t="str">
        <f>IF($S63="","",IF(INDEX('Master Tracker'!$AC$6:$AC$400,$S63)="","",INDEX('Master Tracker'!$AC$6:$AC$400,$S63)))</f>
        <v/>
      </c>
      <c r="S63" t="str">
        <f>IFERROR(MATCH("Phase 5|"&amp;A63,'Master Tracker'!$Z$6:$Z$400,0),"")</f>
        <v/>
      </c>
    </row>
    <row r="64">
      <c r="A64">
        <v>25</v>
      </c>
      <c r="B64" t="str">
        <f>IF($S64="","",IF(INDEX('Master Tracker'!$A$6:$A$400,$S64)="","",INDEX('Master Tracker'!$A$6:$A$400,$S64)))</f>
        <v/>
      </c>
      <c r="C64" t="str">
        <f>IF($S64="","",IF(INDEX('Master Tracker'!$C$6:$C$400,$S64)="","",INDEX('Master Tracker'!$C$6:$C$400,$S64)))</f>
        <v/>
      </c>
      <c r="D64" t="str">
        <f>IF($S64="","",IF(INDEX('Master Tracker'!$D$6:$D$400,$S64)="","",INDEX('Master Tracker'!$D$6:$D$400,$S64)))</f>
        <v/>
      </c>
      <c r="E64" t="str">
        <f>IF($S64="","",IF(INDEX('Master Tracker'!$F$6:$F$400,$S64)="","",INDEX('Master Tracker'!$F$6:$F$400,$S64)))</f>
        <v/>
      </c>
      <c r="F64" t="str">
        <f>IF($S64="","",IF(INDEX('Master Tracker'!$G$6:$G$400,$S64)="","",INDEX('Master Tracker'!$G$6:$G$400,$S64)))</f>
        <v/>
      </c>
      <c r="G64" t="str">
        <f>IF($S64="","",IF(INDEX('Master Tracker'!$H$6:$H$400,$S64)="","",INDEX('Master Tracker'!$H$6:$H$400,$S64)))</f>
        <v/>
      </c>
      <c r="H64" t="str">
        <f>IF($S64="","",IF(INDEX('Master Tracker'!$I$6:$I$400,$S64)="","",INDEX('Master Tracker'!$I$6:$I$400,$S64)))</f>
        <v/>
      </c>
      <c r="I64" t="str">
        <f>IF($S64="","",IF(INDEX('Master Tracker'!$U$6:$U$400,$S64)="","",INDEX('Master Tracker'!$U$6:$U$400,$S64)))</f>
        <v/>
      </c>
      <c r="J64" t="str">
        <f>IF($S64="","",IF(INDEX('Master Tracker'!$K$6:$K$400,$S64)="","",INDEX('Master Tracker'!$K$6:$K$400,$S64)))</f>
        <v/>
      </c>
      <c r="K64" t="str">
        <f>IF($S64="","",IF(INDEX('Master Tracker'!$Y$6:$Y$400,$S64)="","",INDEX('Master Tracker'!$Y$6:$Y$400,$S64)))</f>
        <v/>
      </c>
      <c r="L64" t="str">
        <f>IF($S64="","",IF(INDEX('Master Tracker'!$M$6:$M$400,$S64)="","",INDEX('Master Tracker'!$M$6:$M$400,$S64)))</f>
        <v/>
      </c>
      <c r="M64" t="str">
        <f>IF($S64="","",IF(INDEX('Master Tracker'!$O$6:$O$400,$S64)="","",INDEX('Master Tracker'!$O$6:$O$400,$S64)))</f>
        <v/>
      </c>
      <c r="N64" t="str">
        <f>IF($S64="","",IF(INDEX('Master Tracker'!$N$6:$N$400,$S64)="","",INDEX('Master Tracker'!$N$6:$N$400,$S64)))</f>
        <v/>
      </c>
      <c r="O64" t="str">
        <f>IF($S64="","",IF(INDEX('Master Tracker'!$T$6:$T$400,$S64)="","",INDEX('Master Tracker'!$T$6:$T$400,$S64)))</f>
        <v/>
      </c>
      <c r="P64" t="str">
        <f>IF($S64="","",IF(INDEX('Master Tracker'!$AC$6:$AC$400,$S64)="","",INDEX('Master Tracker'!$AC$6:$AC$400,$S64)))</f>
        <v/>
      </c>
      <c r="S64" t="str">
        <f>IFERROR(MATCH("Phase 5|"&amp;A64,'Master Tracker'!$Z$6:$Z$400,0),"")</f>
        <v/>
      </c>
    </row>
    <row r="65">
      <c r="A65">
        <v>26</v>
      </c>
      <c r="B65" t="str">
        <f>IF($S65="","",IF(INDEX('Master Tracker'!$A$6:$A$400,$S65)="","",INDEX('Master Tracker'!$A$6:$A$400,$S65)))</f>
        <v/>
      </c>
      <c r="C65" t="str">
        <f>IF($S65="","",IF(INDEX('Master Tracker'!$C$6:$C$400,$S65)="","",INDEX('Master Tracker'!$C$6:$C$400,$S65)))</f>
        <v/>
      </c>
      <c r="D65" t="str">
        <f>IF($S65="","",IF(INDEX('Master Tracker'!$D$6:$D$400,$S65)="","",INDEX('Master Tracker'!$D$6:$D$400,$S65)))</f>
        <v/>
      </c>
      <c r="E65" t="str">
        <f>IF($S65="","",IF(INDEX('Master Tracker'!$F$6:$F$400,$S65)="","",INDEX('Master Tracker'!$F$6:$F$400,$S65)))</f>
        <v/>
      </c>
      <c r="F65" t="str">
        <f>IF($S65="","",IF(INDEX('Master Tracker'!$G$6:$G$400,$S65)="","",INDEX('Master Tracker'!$G$6:$G$400,$S65)))</f>
        <v/>
      </c>
      <c r="G65" t="str">
        <f>IF($S65="","",IF(INDEX('Master Tracker'!$H$6:$H$400,$S65)="","",INDEX('Master Tracker'!$H$6:$H$400,$S65)))</f>
        <v/>
      </c>
      <c r="H65" t="str">
        <f>IF($S65="","",IF(INDEX('Master Tracker'!$I$6:$I$400,$S65)="","",INDEX('Master Tracker'!$I$6:$I$400,$S65)))</f>
        <v/>
      </c>
      <c r="I65" t="str">
        <f>IF($S65="","",IF(INDEX('Master Tracker'!$U$6:$U$400,$S65)="","",INDEX('Master Tracker'!$U$6:$U$400,$S65)))</f>
        <v/>
      </c>
      <c r="J65" t="str">
        <f>IF($S65="","",IF(INDEX('Master Tracker'!$K$6:$K$400,$S65)="","",INDEX('Master Tracker'!$K$6:$K$400,$S65)))</f>
        <v/>
      </c>
      <c r="K65" t="str">
        <f>IF($S65="","",IF(INDEX('Master Tracker'!$Y$6:$Y$400,$S65)="","",INDEX('Master Tracker'!$Y$6:$Y$400,$S65)))</f>
        <v/>
      </c>
      <c r="L65" t="str">
        <f>IF($S65="","",IF(INDEX('Master Tracker'!$M$6:$M$400,$S65)="","",INDEX('Master Tracker'!$M$6:$M$400,$S65)))</f>
        <v/>
      </c>
      <c r="M65" t="str">
        <f>IF($S65="","",IF(INDEX('Master Tracker'!$O$6:$O$400,$S65)="","",INDEX('Master Tracker'!$O$6:$O$400,$S65)))</f>
        <v/>
      </c>
      <c r="N65" t="str">
        <f>IF($S65="","",IF(INDEX('Master Tracker'!$N$6:$N$400,$S65)="","",INDEX('Master Tracker'!$N$6:$N$400,$S65)))</f>
        <v/>
      </c>
      <c r="O65" t="str">
        <f>IF($S65="","",IF(INDEX('Master Tracker'!$T$6:$T$400,$S65)="","",INDEX('Master Tracker'!$T$6:$T$400,$S65)))</f>
        <v/>
      </c>
      <c r="P65" t="str">
        <f>IF($S65="","",IF(INDEX('Master Tracker'!$AC$6:$AC$400,$S65)="","",INDEX('Master Tracker'!$AC$6:$AC$400,$S65)))</f>
        <v/>
      </c>
      <c r="S65" t="str">
        <f>IFERROR(MATCH("Phase 5|"&amp;A65,'Master Tracker'!$Z$6:$Z$400,0),"")</f>
        <v/>
      </c>
    </row>
    <row r="66">
      <c r="A66">
        <v>27</v>
      </c>
      <c r="B66" t="str">
        <f>IF($S66="","",IF(INDEX('Master Tracker'!$A$6:$A$400,$S66)="","",INDEX('Master Tracker'!$A$6:$A$400,$S66)))</f>
        <v/>
      </c>
      <c r="C66" t="str">
        <f>IF($S66="","",IF(INDEX('Master Tracker'!$C$6:$C$400,$S66)="","",INDEX('Master Tracker'!$C$6:$C$400,$S66)))</f>
        <v/>
      </c>
      <c r="D66" t="str">
        <f>IF($S66="","",IF(INDEX('Master Tracker'!$D$6:$D$400,$S66)="","",INDEX('Master Tracker'!$D$6:$D$400,$S66)))</f>
        <v/>
      </c>
      <c r="E66" t="str">
        <f>IF($S66="","",IF(INDEX('Master Tracker'!$F$6:$F$400,$S66)="","",INDEX('Master Tracker'!$F$6:$F$400,$S66)))</f>
        <v/>
      </c>
      <c r="F66" t="str">
        <f>IF($S66="","",IF(INDEX('Master Tracker'!$G$6:$G$400,$S66)="","",INDEX('Master Tracker'!$G$6:$G$400,$S66)))</f>
        <v/>
      </c>
      <c r="G66" t="str">
        <f>IF($S66="","",IF(INDEX('Master Tracker'!$H$6:$H$400,$S66)="","",INDEX('Master Tracker'!$H$6:$H$400,$S66)))</f>
        <v/>
      </c>
      <c r="H66" t="str">
        <f>IF($S66="","",IF(INDEX('Master Tracker'!$I$6:$I$400,$S66)="","",INDEX('Master Tracker'!$I$6:$I$400,$S66)))</f>
        <v/>
      </c>
      <c r="I66" t="str">
        <f>IF($S66="","",IF(INDEX('Master Tracker'!$U$6:$U$400,$S66)="","",INDEX('Master Tracker'!$U$6:$U$400,$S66)))</f>
        <v/>
      </c>
      <c r="J66" t="str">
        <f>IF($S66="","",IF(INDEX('Master Tracker'!$K$6:$K$400,$S66)="","",INDEX('Master Tracker'!$K$6:$K$400,$S66)))</f>
        <v/>
      </c>
      <c r="K66" t="str">
        <f>IF($S66="","",IF(INDEX('Master Tracker'!$Y$6:$Y$400,$S66)="","",INDEX('Master Tracker'!$Y$6:$Y$400,$S66)))</f>
        <v/>
      </c>
      <c r="L66" t="str">
        <f>IF($S66="","",IF(INDEX('Master Tracker'!$M$6:$M$400,$S66)="","",INDEX('Master Tracker'!$M$6:$M$400,$S66)))</f>
        <v/>
      </c>
      <c r="M66" t="str">
        <f>IF($S66="","",IF(INDEX('Master Tracker'!$O$6:$O$400,$S66)="","",INDEX('Master Tracker'!$O$6:$O$400,$S66)))</f>
        <v/>
      </c>
      <c r="N66" t="str">
        <f>IF($S66="","",IF(INDEX('Master Tracker'!$N$6:$N$400,$S66)="","",INDEX('Master Tracker'!$N$6:$N$400,$S66)))</f>
        <v/>
      </c>
      <c r="O66" t="str">
        <f>IF($S66="","",IF(INDEX('Master Tracker'!$T$6:$T$400,$S66)="","",INDEX('Master Tracker'!$T$6:$T$400,$S66)))</f>
        <v/>
      </c>
      <c r="P66" t="str">
        <f>IF($S66="","",IF(INDEX('Master Tracker'!$AC$6:$AC$400,$S66)="","",INDEX('Master Tracker'!$AC$6:$AC$400,$S66)))</f>
        <v/>
      </c>
      <c r="S66" t="str">
        <f>IFERROR(MATCH("Phase 5|"&amp;A66,'Master Tracker'!$Z$6:$Z$400,0),"")</f>
        <v/>
      </c>
    </row>
    <row r="67">
      <c r="A67">
        <v>28</v>
      </c>
      <c r="B67" t="str">
        <f>IF($S67="","",IF(INDEX('Master Tracker'!$A$6:$A$400,$S67)="","",INDEX('Master Tracker'!$A$6:$A$400,$S67)))</f>
        <v/>
      </c>
      <c r="C67" t="str">
        <f>IF($S67="","",IF(INDEX('Master Tracker'!$C$6:$C$400,$S67)="","",INDEX('Master Tracker'!$C$6:$C$400,$S67)))</f>
        <v/>
      </c>
      <c r="D67" t="str">
        <f>IF($S67="","",IF(INDEX('Master Tracker'!$D$6:$D$400,$S67)="","",INDEX('Master Tracker'!$D$6:$D$400,$S67)))</f>
        <v/>
      </c>
      <c r="E67" t="str">
        <f>IF($S67="","",IF(INDEX('Master Tracker'!$F$6:$F$400,$S67)="","",INDEX('Master Tracker'!$F$6:$F$400,$S67)))</f>
        <v/>
      </c>
      <c r="F67" t="str">
        <f>IF($S67="","",IF(INDEX('Master Tracker'!$G$6:$G$400,$S67)="","",INDEX('Master Tracker'!$G$6:$G$400,$S67)))</f>
        <v/>
      </c>
      <c r="G67" t="str">
        <f>IF($S67="","",IF(INDEX('Master Tracker'!$H$6:$H$400,$S67)="","",INDEX('Master Tracker'!$H$6:$H$400,$S67)))</f>
        <v/>
      </c>
      <c r="H67" t="str">
        <f>IF($S67="","",IF(INDEX('Master Tracker'!$I$6:$I$400,$S67)="","",INDEX('Master Tracker'!$I$6:$I$400,$S67)))</f>
        <v/>
      </c>
      <c r="I67" t="str">
        <f>IF($S67="","",IF(INDEX('Master Tracker'!$U$6:$U$400,$S67)="","",INDEX('Master Tracker'!$U$6:$U$400,$S67)))</f>
        <v/>
      </c>
      <c r="J67" t="str">
        <f>IF($S67="","",IF(INDEX('Master Tracker'!$K$6:$K$400,$S67)="","",INDEX('Master Tracker'!$K$6:$K$400,$S67)))</f>
        <v/>
      </c>
      <c r="K67" t="str">
        <f>IF($S67="","",IF(INDEX('Master Tracker'!$Y$6:$Y$400,$S67)="","",INDEX('Master Tracker'!$Y$6:$Y$400,$S67)))</f>
        <v/>
      </c>
      <c r="L67" t="str">
        <f>IF($S67="","",IF(INDEX('Master Tracker'!$M$6:$M$400,$S67)="","",INDEX('Master Tracker'!$M$6:$M$400,$S67)))</f>
        <v/>
      </c>
      <c r="M67" t="str">
        <f>IF($S67="","",IF(INDEX('Master Tracker'!$O$6:$O$400,$S67)="","",INDEX('Master Tracker'!$O$6:$O$400,$S67)))</f>
        <v/>
      </c>
      <c r="N67" t="str">
        <f>IF($S67="","",IF(INDEX('Master Tracker'!$N$6:$N$400,$S67)="","",INDEX('Master Tracker'!$N$6:$N$400,$S67)))</f>
        <v/>
      </c>
      <c r="O67" t="str">
        <f>IF($S67="","",IF(INDEX('Master Tracker'!$T$6:$T$400,$S67)="","",INDEX('Master Tracker'!$T$6:$T$400,$S67)))</f>
        <v/>
      </c>
      <c r="P67" t="str">
        <f>IF($S67="","",IF(INDEX('Master Tracker'!$AC$6:$AC$400,$S67)="","",INDEX('Master Tracker'!$AC$6:$AC$400,$S67)))</f>
        <v/>
      </c>
      <c r="S67" t="str">
        <f>IFERROR(MATCH("Phase 5|"&amp;A67,'Master Tracker'!$Z$6:$Z$400,0),"")</f>
        <v/>
      </c>
    </row>
  </sheetData>
  <mergeCells count="54">
    <mergeCell ref="B36:R36"/>
    <mergeCell ref="A1:R1"/>
    <mergeCell ref="J13:R13"/>
    <mergeCell ref="A19:H19"/>
    <mergeCell ref="B33:R33"/>
    <mergeCell ref="P6:R6"/>
    <mergeCell ref="A38:R38"/>
    <mergeCell ref="J18:R18"/>
    <mergeCell ref="B29:R29"/>
    <mergeCell ref="A10:R10"/>
    <mergeCell ref="J23:R23"/>
    <mergeCell ref="B34:R34"/>
    <mergeCell ref="A14:H14"/>
    <mergeCell ref="B28:R28"/>
    <mergeCell ref="J17:R17"/>
    <mergeCell ref="A23:H23"/>
    <mergeCell ref="A22:H22"/>
    <mergeCell ref="A17:H17"/>
    <mergeCell ref="J14:R14"/>
    <mergeCell ref="B30:R30"/>
    <mergeCell ref="A20:H20"/>
    <mergeCell ref="J19:R19"/>
    <mergeCell ref="A2:R2"/>
    <mergeCell ref="A16:H16"/>
    <mergeCell ref="J22:R22"/>
    <mergeCell ref="J21:R21"/>
    <mergeCell ref="A12:H12"/>
    <mergeCell ref="J12:R12"/>
    <mergeCell ref="A18:H18"/>
    <mergeCell ref="E6:F6"/>
    <mergeCell ref="A21:H21"/>
    <mergeCell ref="P5:R5"/>
    <mergeCell ref="A9:R9"/>
    <mergeCell ref="A6:C6"/>
    <mergeCell ref="H5:I5"/>
    <mergeCell ref="A13:H13"/>
    <mergeCell ref="B35:R35"/>
    <mergeCell ref="A24:H24"/>
    <mergeCell ref="E5:F5"/>
    <mergeCell ref="A3:C3"/>
    <mergeCell ref="B31:R31"/>
    <mergeCell ref="J20:R20"/>
    <mergeCell ref="A26:R26"/>
    <mergeCell ref="J16:R16"/>
    <mergeCell ref="H6:I6"/>
    <mergeCell ref="B27:R27"/>
    <mergeCell ref="A5:C5"/>
    <mergeCell ref="J6:K6"/>
    <mergeCell ref="B32:R32"/>
    <mergeCell ref="J24:R24"/>
    <mergeCell ref="A7:R7"/>
    <mergeCell ref="A15:H15"/>
    <mergeCell ref="J5:K5"/>
    <mergeCell ref="J15:R15"/>
  </mergeCells>
  <hyperlinks>
    <hyperlink ref="A3" location="'Executive Dashboard'!A1"/>
    <hyperlink ref="D3" location="'Master Tracker'!A1"/>
    <hyperlink ref="F3" r:id="rId1"/>
  </hyperlinks>
  <pageMargins left="0.75" right="0.75" top="1" bottom="1" header="0.5" footer="0.5"/>
  <ignoredErrors>
    <ignoredError numberStoredAsText="1" sqref="A1:S67"/>
  </ignoredErrors>
</worksheet>
</file>

<file path=xl/worksheets/sheet8.xml><?xml version="1.0" encoding="utf-8"?>
<worksheet xmlns="http://schemas.openxmlformats.org/spreadsheetml/2006/main" xmlns:r="http://schemas.openxmlformats.org/officeDocument/2006/relationships">
  <dimension ref="A1:S66"/>
  <sheetViews>
    <sheetView workbookViewId="0" rightToLeft="0"/>
  </sheetViews>
  <sheetData>
    <row r="1">
      <c r="A1" t="str">
        <v xml:space="preserve">  PHASE 6 — DATABASE CLEANUP, CRAWL AUDIT &amp; CUTOVER</v>
      </c>
    </row>
    <row r="2">
      <c r="A2" t="str">
        <v xml:space="preserve">  Window 26 Oct – 31 Oct 2026   ·   Status is read live from the Master Tracker (edit there)</v>
      </c>
    </row>
    <row r="3">
      <c r="A3" t="str">
        <v>← Dashboard</v>
      </c>
      <c r="D3" t="str">
        <v>Open Master Tracker →</v>
      </c>
      <c r="F3" t="str">
        <v>Staging ↗</v>
      </c>
    </row>
    <row r="5">
      <c r="A5" t="str">
        <v>COMPLETION</v>
      </c>
      <c r="D5" t="str">
        <v>PLANNED</v>
      </c>
      <c r="E5" t="str">
        <v>TASKS</v>
      </c>
      <c r="G5" t="str">
        <v>DONE</v>
      </c>
      <c r="H5" t="str">
        <v>IN PROGRESS</v>
      </c>
      <c r="J5" t="str">
        <v>BLOCKED</v>
      </c>
      <c r="L5" t="str">
        <v>OVERDUE</v>
      </c>
      <c r="M5" t="str">
        <v>IN REVIEW / TEST</v>
      </c>
      <c r="N5" t="str">
        <v>OPEN P0</v>
      </c>
      <c r="O5" t="str">
        <v>DEADLINE</v>
      </c>
      <c r="P5" t="str">
        <v>PHASE STATUS</v>
      </c>
    </row>
    <row r="6">
      <c r="A6">
        <f>IFERROR(SUMPRODUCT(('Master Tracker'!$B$6:$B$400="Phase 6")*'Master Tracker'!$U$6:$U$400)/COUNTIFS('Master Tracker'!$B$6:$B$400,"Phase 6",'Master Tracker'!$A$6:$A$400,"?*"),0)</f>
        <v>0</v>
      </c>
      <c r="D6">
        <f>IFERROR(SUMPRODUCT(('Master Tracker'!$B$6:$B$400="Phase 6")*'Master Tracker'!$V$6:$V$400)/COUNTIFS('Master Tracker'!$B$6:$B$400,"Phase 6",'Master Tracker'!$A$6:$A$400,"?*"),0)</f>
        <v>0</v>
      </c>
      <c r="E6">
        <f>COUNTIFS('Master Tracker'!$B$6:$B$400,"Phase 6",'Master Tracker'!$A$6:$A$400,"?*")</f>
        <v>22</v>
      </c>
      <c r="G6">
        <f>COUNTIFS('Master Tracker'!$B$6:$B$400,"Phase 6",'Master Tracker'!$G$6:$G$400,"Completed")</f>
        <v>0</v>
      </c>
      <c r="H6">
        <f>COUNTIFS('Master Tracker'!$B$6:$B$400,"Phase 6",'Master Tracker'!$G$6:$G$400,"In Progress")</f>
        <v>0</v>
      </c>
      <c r="J6">
        <f>COUNTIFS('Master Tracker'!$B$6:$B$400,"Phase 6",'Master Tracker'!$G$6:$G$400,"Blocked")</f>
        <v>0</v>
      </c>
      <c r="L6">
        <f>COUNTIFS('Master Tracker'!$B$6:$B$400,"Phase 6",'Master Tracker'!$X$6:$X$400,"OVERDUE")</f>
        <v>0</v>
      </c>
      <c r="M6">
        <f>COUNTIFS('Master Tracker'!$B$6:$B$400,"Phase 6",'Master Tracker'!$G$6:$G$400,"In Review")+COUNTIFS('Master Tracker'!$B$6:$B$400,"Phase 6",'Master Tracker'!$G$6:$G$400,"Testing")</f>
        <v>0</v>
      </c>
      <c r="N6">
        <f>COUNTIFS('Master Tracker'!$B$6:$B$400,"Phase 6",'Master Tracker'!$F$6:$F$400,"P0",'Master Tracker'!$G$6:$G$400,"&lt;&gt;Completed",'Master Tracker'!$A$6:$A$400,"?*")</f>
        <v>20</v>
      </c>
      <c r="O6">
        <f>MAXIFS('Master Tracker'!$I$6:$I$400,'Master Tracker'!$B$6:$B$400,"Phase 6")</f>
        <v>46327</v>
      </c>
      <c r="P6" t="str">
        <f>IF(E6=0,"—",IF(G6=E6,"Complete",IF(J6&gt;0,"Blocked",IF(L6&gt;0,"Behind",IF(A6+0.1&lt;D6,"Behind",IF(A6&gt;0,"On Track","Not Started"))))))</f>
        <v>Not Started</v>
      </c>
    </row>
    <row r="7">
      <c r="A7" t="str">
        <f>"Progress  "&amp;REPT("█",ROUND(A6*50,0))&amp;REPT("░",50-ROUND(A6*50,0))&amp;"  "&amp;TEXT(A6,"0%")&amp;"  (planned "&amp;TEXT(D6,"0%")&amp;")"</f>
        <v>Progress  ░░░░░░░░░░░░░░░░░░░░░░░░░░░░░░░░░░░░░░░░░░░░░░░░░░  0%  (planned 0%)</v>
      </c>
    </row>
    <row r="9">
      <c r="A9" t="str">
        <v xml:space="preserve">  PHASE GOAL</v>
      </c>
    </row>
    <row r="10">
      <c r="A10" t="str">
        <v>Protect data and search equity: back up and audit the database, remove legacy JNews dependencies safely, prove all 2,645 article URLs and SEO metadata survive, optimize performance with LiteSpeed, complete security and cross-browser testing, and execute a rehearsed, reversible production cutover on 1 November.</v>
      </c>
    </row>
    <row r="12">
      <c r="A12" t="str">
        <v xml:space="preserve">  DELIVERABLES</v>
      </c>
      <c r="J12" t="str">
        <v xml:space="preserve">  REQUIRED WORDPRESS FILES</v>
      </c>
    </row>
    <row r="13">
      <c r="A13" t="str">
        <v>▸ Verified full backups (files + DB) before work and before cutover</v>
      </c>
      <c r="J13" t="str">
        <v>▸ wp-config.php</v>
      </c>
    </row>
    <row r="14">
      <c r="A14" t="str">
        <v>▸ Database audit and JNews dependency report</v>
      </c>
      <c r="J14" t="str">
        <v>▸ .htaccess</v>
      </c>
    </row>
    <row r="15">
      <c r="A15" t="str">
        <v>▸ Safe database optimization (staging first)</v>
      </c>
      <c r="J15" t="str">
        <v>▸ LiteSpeed Cache settings export</v>
      </c>
    </row>
    <row r="16">
      <c r="A16" t="str">
        <v>▸ URL inventory + validation of 2,645 article URLs</v>
      </c>
      <c r="J16" t="str">
        <v>▸ inc/redirects.php (or Redirection plugin export)</v>
      </c>
    </row>
    <row r="17">
      <c r="A17" t="str">
        <v>▸ SEO baseline vs. staging comparison + redirect map</v>
      </c>
      <c r="J17" t="str">
        <v>▸ url-inventory.csv</v>
      </c>
    </row>
    <row r="18">
      <c r="A18" t="str">
        <v>▸ Performance optimization + LiteSpeed configuration</v>
      </c>
      <c r="J18" t="str">
        <v>▸ seo-baseline.csv</v>
      </c>
    </row>
    <row r="19">
      <c r="A19" t="str">
        <v>▸ Responsive, cross-browser and security verification</v>
      </c>
      <c r="J19" t="str">
        <v>▸ backups/ (off-server)</v>
      </c>
    </row>
    <row r="20">
      <c r="A20" t="str">
        <v>▸ Deployment readiness sign-off and rehearsed rollback plan</v>
      </c>
      <c r="J20" t="str">
        <v>▸ deployment-runbook (this workbook, sheet 11)</v>
      </c>
    </row>
    <row r="21">
      <c r="A21" t="str">
        <v>▸ Production cutover and post-launch verification</v>
      </c>
    </row>
    <row r="23">
      <c r="A23" t="str">
        <v xml:space="preserve">  TECHNICAL IMPLEMENTATION STEPS</v>
      </c>
    </row>
    <row r="24">
      <c r="A24">
        <v>1</v>
      </c>
      <c r="B24" t="str">
        <v>Day 1: full production backup (files + DB), stored off-server, restore-tested</v>
      </c>
    </row>
    <row r="25">
      <c r="A25">
        <v>2</v>
      </c>
      <c r="B25" t="str">
        <v>Day 2: DB audit, JNews dependency review, URL inventory &amp; SEO baseline</v>
      </c>
    </row>
    <row r="26">
      <c r="A26">
        <v>3</v>
      </c>
      <c r="B26" t="str">
        <v>Optimize DB on staging only (revisions, transients, orphan meta, autoload)</v>
      </c>
    </row>
    <row r="27">
      <c r="A27">
        <v>4</v>
      </c>
      <c r="B27" t="str">
        <v>Crawl staging; compare status codes, titles, metas, canonicals vs baseline</v>
      </c>
    </row>
    <row r="28">
      <c r="A28">
        <v>5</v>
      </c>
      <c r="B28" t="str">
        <v>Build 301 map for any changed URLs</v>
      </c>
    </row>
    <row r="29">
      <c r="A29">
        <v>6</v>
      </c>
      <c r="B29" t="str">
        <v>Tune Core Web Vitals; configure LiteSpeed (exclude account/checkout)</v>
      </c>
    </row>
    <row r="30">
      <c r="A30">
        <v>7</v>
      </c>
      <c r="B30" t="str">
        <v>Run QA &amp; Testing sheet; fix defects in buffer</v>
      </c>
    </row>
    <row r="31">
      <c r="A31">
        <v>8</v>
      </c>
      <c r="B31" t="str">
        <v>Security verification (headers, enumeration, XML-RPC, permissions)</v>
      </c>
    </row>
    <row r="32">
      <c r="A32">
        <v>9</v>
      </c>
      <c r="B32" t="str">
        <v>Client UAT sign-off; rehearse rollback on staging</v>
      </c>
    </row>
    <row r="33">
      <c r="A33">
        <v>10</v>
      </c>
      <c r="B33" t="str">
        <v>1 Nov: fresh backup → cutover → purge caches → smoke test → monitor</v>
      </c>
    </row>
    <row r="35">
      <c r="A35" t="str">
        <v xml:space="preserve">  DETAILED TASK CHECKLIST   (live from Master Tracker — change Status / % there)</v>
      </c>
    </row>
    <row r="36">
      <c r="A36" t="str">
        <v>#</v>
      </c>
      <c r="B36" t="str">
        <v>Task ID</v>
      </c>
      <c r="C36" t="str">
        <v>Module</v>
      </c>
      <c r="D36" t="str">
        <v>Task</v>
      </c>
      <c r="E36" t="str">
        <v>Priority</v>
      </c>
      <c r="F36" t="str">
        <v>Status</v>
      </c>
      <c r="G36" t="str">
        <v>Start</v>
      </c>
      <c r="H36" t="str">
        <v>Due</v>
      </c>
      <c r="I36" t="str">
        <v>Complete</v>
      </c>
      <c r="J36" t="str">
        <v>Dependencies</v>
      </c>
      <c r="K36" t="str">
        <v>Dep. check</v>
      </c>
      <c r="L36" t="str">
        <v>WordPress files</v>
      </c>
      <c r="M36" t="str">
        <v>Acceptance criteria</v>
      </c>
      <c r="N36" t="str">
        <v>Testing checklist</v>
      </c>
      <c r="O36" t="str">
        <v>Test result</v>
      </c>
      <c r="P36" t="str">
        <v>Alert</v>
      </c>
    </row>
    <row r="37">
      <c r="A37">
        <v>1</v>
      </c>
      <c r="B37" t="str">
        <f>IF($S37="","",IF(INDEX('Master Tracker'!$A$6:$A$400,$S37)="","",INDEX('Master Tracker'!$A$6:$A$400,$S37)))</f>
        <v>P6-01</v>
      </c>
      <c r="C37" t="str">
        <f>IF($S37="","",IF(INDEX('Master Tracker'!$C$6:$C$400,$S37)="","",INDEX('Master Tracker'!$C$6:$C$400,$S37)))</f>
        <v>Backup</v>
      </c>
      <c r="D37" t="str">
        <f>IF($S37="","",IF(INDEX('Master Tracker'!$D$6:$D$400,$S37)="","",INDEX('Master Tracker'!$D$6:$D$400,$S37)))</f>
        <v>Full production backup (files + DB) before any work</v>
      </c>
      <c r="E37" t="str">
        <f>IF($S37="","",IF(INDEX('Master Tracker'!$F$6:$F$400,$S37)="","",INDEX('Master Tracker'!$F$6:$F$400,$S37)))</f>
        <v>P0</v>
      </c>
      <c r="F37" t="str">
        <f>IF($S37="","",IF(INDEX('Master Tracker'!$G$6:$G$400,$S37)="","",INDEX('Master Tracker'!$G$6:$G$400,$S37)))</f>
        <v>Not Started</v>
      </c>
      <c r="G37">
        <f>IF($S37="","",IF(INDEX('Master Tracker'!$H$6:$H$400,$S37)="","",INDEX('Master Tracker'!$H$6:$H$400,$S37)))</f>
        <v>46307</v>
      </c>
      <c r="H37">
        <f>IF($S37="","",IF(INDEX('Master Tracker'!$I$6:$I$400,$S37)="","",INDEX('Master Tracker'!$I$6:$I$400,$S37)))</f>
        <v>46307</v>
      </c>
      <c r="I37">
        <f>IF($S37="","",IF(INDEX('Master Tracker'!$U$6:$U$400,$S37)="","",INDEX('Master Tracker'!$U$6:$U$400,$S37)))</f>
        <v>0</v>
      </c>
      <c r="J37" t="str">
        <f>IF($S37="","",IF(INDEX('Master Tracker'!$K$6:$K$400,$S37)="","",INDEX('Master Tracker'!$K$6:$K$400,$S37)))</f>
        <v/>
      </c>
      <c r="K37" t="str">
        <f>IF($S37="","",IF(INDEX('Master Tracker'!$Y$6:$Y$400,$S37)="","",INDEX('Master Tracker'!$Y$6:$Y$400,$S37)))</f>
        <v/>
      </c>
      <c r="L37" t="str">
        <f>IF($S37="","",IF(INDEX('Master Tracker'!$M$6:$M$400,$S37)="","",INDEX('Master Tracker'!$M$6:$M$400,$S37)))</f>
        <v>backups/ (off-server)</v>
      </c>
      <c r="M37" t="str">
        <f>IF($S37="","",IF(INDEX('Master Tracker'!$O$6:$O$400,$S37)="","",INDEX('Master Tracker'!$O$6:$O$400,$S37)))</f>
        <v>Restorable backup exists before any change</v>
      </c>
      <c r="N37" t="str">
        <f>IF($S37="","",IF(INDEX('Master Tracker'!$N$6:$N$400,$S37)="","",INDEX('Master Tracker'!$N$6:$N$400,$S37)))</f>
        <v>Checksum verified; DB dump imports cleanly on staging</v>
      </c>
      <c r="O37" t="str">
        <f>IF($S37="","",IF(INDEX('Master Tracker'!$T$6:$T$400,$S37)="","",INDEX('Master Tracker'!$T$6:$T$400,$S37)))</f>
        <v>Not Tested</v>
      </c>
      <c r="P37" t="str">
        <f>IF($S37="","",IF(INDEX('Master Tracker'!$AC$6:$AC$400,$S37)="","",INDEX('Master Tracker'!$AC$6:$AC$400,$S37)))</f>
        <v>Due soon</v>
      </c>
      <c r="S37">
        <f>IFERROR(MATCH("Phase 6|"&amp;A37,'Master Tracker'!$Z$6:$Z$400,0),"")</f>
        <v>90</v>
      </c>
    </row>
    <row r="38">
      <c r="A38">
        <v>2</v>
      </c>
      <c r="B38" t="str">
        <f>IF($S38="","",IF(INDEX('Master Tracker'!$A$6:$A$400,$S38)="","",INDEX('Master Tracker'!$A$6:$A$400,$S38)))</f>
        <v>P6-02</v>
      </c>
      <c r="C38" t="str">
        <f>IF($S38="","",IF(INDEX('Master Tracker'!$C$6:$C$400,$S38)="","",INDEX('Master Tracker'!$C$6:$C$400,$S38)))</f>
        <v>Backup</v>
      </c>
      <c r="D38" t="str">
        <f>IF($S38="","",IF(INDEX('Master Tracker'!$D$6:$D$400,$S38)="","",INDEX('Master Tracker'!$D$6:$D$400,$S38)))</f>
        <v>Verify staging mirrors production</v>
      </c>
      <c r="E38" t="str">
        <f>IF($S38="","",IF(INDEX('Master Tracker'!$F$6:$F$400,$S38)="","",INDEX('Master Tracker'!$F$6:$F$400,$S38)))</f>
        <v>P0</v>
      </c>
      <c r="F38" t="str">
        <f>IF($S38="","",IF(INDEX('Master Tracker'!$G$6:$G$400,$S38)="","",INDEX('Master Tracker'!$G$6:$G$400,$S38)))</f>
        <v>Not Started</v>
      </c>
      <c r="G38">
        <f>IF($S38="","",IF(INDEX('Master Tracker'!$H$6:$H$400,$S38)="","",INDEX('Master Tracker'!$H$6:$H$400,$S38)))</f>
        <v>46307</v>
      </c>
      <c r="H38">
        <f>IF($S38="","",IF(INDEX('Master Tracker'!$I$6:$I$400,$S38)="","",INDEX('Master Tracker'!$I$6:$I$400,$S38)))</f>
        <v>46307</v>
      </c>
      <c r="I38">
        <f>IF($S38="","",IF(INDEX('Master Tracker'!$U$6:$U$400,$S38)="","",INDEX('Master Tracker'!$U$6:$U$400,$S38)))</f>
        <v>0</v>
      </c>
      <c r="J38" t="str">
        <f>IF($S38="","",IF(INDEX('Master Tracker'!$K$6:$K$400,$S38)="","",INDEX('Master Tracker'!$K$6:$K$400,$S38)))</f>
        <v>P6-01</v>
      </c>
      <c r="K38" t="str">
        <f>IF($S38="","",IF(INDEX('Master Tracker'!$Y$6:$Y$400,$S38)="","",INDEX('Master Tracker'!$Y$6:$Y$400,$S38)))</f>
        <v>⏳ 1 open</v>
      </c>
      <c r="L38" t="str">
        <f>IF($S38="","",IF(INDEX('Master Tracker'!$M$6:$M$400,$S38)="","",INDEX('Master Tracker'!$M$6:$M$400,$S38)))</f>
        <v>wp-config.php, database</v>
      </c>
      <c r="M38" t="str">
        <f>IF($S38="","",IF(INDEX('Master Tracker'!$O$6:$O$400,$S38)="","",INDEX('Master Tracker'!$O$6:$O$400,$S38)))</f>
        <v>Staging is a verified mirror; content-delta plan agreed</v>
      </c>
      <c r="N38" t="str">
        <f>IF($S38="","",IF(INDEX('Master Tracker'!$N$6:$N$400,$S38)="","",INDEX('Master Tracker'!$N$6:$N$400,$S38)))</f>
        <v>Compare post/term/user counts staging vs production</v>
      </c>
      <c r="O38" t="str">
        <f>IF($S38="","",IF(INDEX('Master Tracker'!$T$6:$T$400,$S38)="","",INDEX('Master Tracker'!$T$6:$T$400,$S38)))</f>
        <v>Not Tested</v>
      </c>
      <c r="P38" t="str">
        <f>IF($S38="","",IF(INDEX('Master Tracker'!$AC$6:$AC$400,$S38)="","",INDEX('Master Tracker'!$AC$6:$AC$400,$S38)))</f>
        <v>Due soon</v>
      </c>
      <c r="S38">
        <f>IFERROR(MATCH("Phase 6|"&amp;A38,'Master Tracker'!$Z$6:$Z$400,0),"")</f>
        <v>91</v>
      </c>
    </row>
    <row r="39">
      <c r="A39">
        <v>3</v>
      </c>
      <c r="B39" t="str">
        <f>IF($S39="","",IF(INDEX('Master Tracker'!$A$6:$A$400,$S39)="","",INDEX('Master Tracker'!$A$6:$A$400,$S39)))</f>
        <v>P6-03</v>
      </c>
      <c r="C39" t="str">
        <f>IF($S39="","",IF(INDEX('Master Tracker'!$C$6:$C$400,$S39)="","",INDEX('Master Tracker'!$C$6:$C$400,$S39)))</f>
        <v>DB Audit</v>
      </c>
      <c r="D39" t="str">
        <f>IF($S39="","",IF(INDEX('Master Tracker'!$D$6:$D$400,$S39)="","",INDEX('Master Tracker'!$D$6:$D$400,$S39)))</f>
        <v>Database audit</v>
      </c>
      <c r="E39" t="str">
        <f>IF($S39="","",IF(INDEX('Master Tracker'!$F$6:$F$400,$S39)="","",INDEX('Master Tracker'!$F$6:$F$400,$S39)))</f>
        <v>P0</v>
      </c>
      <c r="F39" t="str">
        <f>IF($S39="","",IF(INDEX('Master Tracker'!$G$6:$G$400,$S39)="","",INDEX('Master Tracker'!$G$6:$G$400,$S39)))</f>
        <v>Not Started</v>
      </c>
      <c r="G39">
        <f>IF($S39="","",IF(INDEX('Master Tracker'!$H$6:$H$400,$S39)="","",INDEX('Master Tracker'!$H$6:$H$400,$S39)))</f>
        <v>46308</v>
      </c>
      <c r="H39">
        <f>IF($S39="","",IF(INDEX('Master Tracker'!$I$6:$I$400,$S39)="","",INDEX('Master Tracker'!$I$6:$I$400,$S39)))</f>
        <v>46308</v>
      </c>
      <c r="I39">
        <f>IF($S39="","",IF(INDEX('Master Tracker'!$U$6:$U$400,$S39)="","",INDEX('Master Tracker'!$U$6:$U$400,$S39)))</f>
        <v>0</v>
      </c>
      <c r="J39" t="str">
        <f>IF($S39="","",IF(INDEX('Master Tracker'!$K$6:$K$400,$S39)="","",INDEX('Master Tracker'!$K$6:$K$400,$S39)))</f>
        <v>P6-02</v>
      </c>
      <c r="K39" t="str">
        <f>IF($S39="","",IF(INDEX('Master Tracker'!$Y$6:$Y$400,$S39)="","",INDEX('Master Tracker'!$Y$6:$Y$400,$S39)))</f>
        <v>⏳ 1 open</v>
      </c>
      <c r="L39" t="str">
        <f>IF($S39="","",IF(INDEX('Master Tracker'!$M$6:$M$400,$S39)="","",INDEX('Master Tracker'!$M$6:$M$400,$S39)))</f>
        <v>database (phpMyAdmin)</v>
      </c>
      <c r="M39" t="str">
        <f>IF($S39="","",IF(INDEX('Master Tracker'!$O$6:$O$400,$S39)="","",INDEX('Master Tracker'!$O$6:$O$400,$S39)))</f>
        <v>Audit report saved; risks logged</v>
      </c>
      <c r="N39" t="str">
        <f>IF($S39="","",IF(INDEX('Master Tracker'!$N$6:$N$400,$S39)="","",INDEX('Master Tracker'!$N$6:$N$400,$S39)))</f>
        <v>Run audit queries; export results</v>
      </c>
      <c r="O39" t="str">
        <f>IF($S39="","",IF(INDEX('Master Tracker'!$T$6:$T$400,$S39)="","",INDEX('Master Tracker'!$T$6:$T$400,$S39)))</f>
        <v>Not Tested</v>
      </c>
      <c r="P39" t="str">
        <f>IF($S39="","",IF(INDEX('Master Tracker'!$AC$6:$AC$400,$S39)="","",INDEX('Master Tracker'!$AC$6:$AC$400,$S39)))</f>
        <v>Due soon</v>
      </c>
      <c r="S39">
        <f>IFERROR(MATCH("Phase 6|"&amp;A39,'Master Tracker'!$Z$6:$Z$400,0),"")</f>
        <v>92</v>
      </c>
    </row>
    <row r="40">
      <c r="A40">
        <v>4</v>
      </c>
      <c r="B40" t="str">
        <f>IF($S40="","",IF(INDEX('Master Tracker'!$A$6:$A$400,$S40)="","",INDEX('Master Tracker'!$A$6:$A$400,$S40)))</f>
        <v>P6-04</v>
      </c>
      <c r="C40" t="str">
        <f>IF($S40="","",IF(INDEX('Master Tracker'!$C$6:$C$400,$S40)="","",INDEX('Master Tracker'!$C$6:$C$400,$S40)))</f>
        <v>JNews Review</v>
      </c>
      <c r="D40" t="str">
        <f>IF($S40="","",IF(INDEX('Master Tracker'!$D$6:$D$400,$S40)="","",INDEX('Master Tracker'!$D$6:$D$400,$S40)))</f>
        <v>Legacy JNews dependency review</v>
      </c>
      <c r="E40" t="str">
        <f>IF($S40="","",IF(INDEX('Master Tracker'!$F$6:$F$400,$S40)="","",INDEX('Master Tracker'!$F$6:$F$400,$S40)))</f>
        <v>P0</v>
      </c>
      <c r="F40" t="str">
        <f>IF($S40="","",IF(INDEX('Master Tracker'!$G$6:$G$400,$S40)="","",INDEX('Master Tracker'!$G$6:$G$400,$S40)))</f>
        <v>Not Started</v>
      </c>
      <c r="G40">
        <f>IF($S40="","",IF(INDEX('Master Tracker'!$H$6:$H$400,$S40)="","",INDEX('Master Tracker'!$H$6:$H$400,$S40)))</f>
        <v>46308</v>
      </c>
      <c r="H40">
        <f>IF($S40="","",IF(INDEX('Master Tracker'!$I$6:$I$400,$S40)="","",INDEX('Master Tracker'!$I$6:$I$400,$S40)))</f>
        <v>46308</v>
      </c>
      <c r="I40">
        <f>IF($S40="","",IF(INDEX('Master Tracker'!$U$6:$U$400,$S40)="","",INDEX('Master Tracker'!$U$6:$U$400,$S40)))</f>
        <v>0</v>
      </c>
      <c r="J40" t="str">
        <f>IF($S40="","",IF(INDEX('Master Tracker'!$K$6:$K$400,$S40)="","",INDEX('Master Tracker'!$K$6:$K$400,$S40)))</f>
        <v>P6-03</v>
      </c>
      <c r="K40" t="str">
        <f>IF($S40="","",IF(INDEX('Master Tracker'!$Y$6:$Y$400,$S40)="","",INDEX('Master Tracker'!$Y$6:$Y$400,$S40)))</f>
        <v>⏳ 1 open</v>
      </c>
      <c r="L40" t="str">
        <f>IF($S40="","",IF(INDEX('Master Tracker'!$M$6:$M$400,$S40)="","",INDEX('Master Tracker'!$M$6:$M$400,$S40)))</f>
        <v>database, wp-content/plugins/jnews-*</v>
      </c>
      <c r="M40" t="str">
        <f>IF($S40="","",IF(INDEX('Master Tracker'!$O$6:$O$400,$S40)="","",INDEX('Master Tracker'!$O$6:$O$400,$S40)))</f>
        <v>Every JNews dependency has a documented decision</v>
      </c>
      <c r="N40" t="str">
        <f>IF($S40="","",IF(INDEX('Master Tracker'!$N$6:$N$400,$S40)="","",INDEX('Master Tracker'!$N$6:$N$400,$S40)))</f>
        <v>SQL LIKE search for shortcodes; meta key frequency list</v>
      </c>
      <c r="O40" t="str">
        <f>IF($S40="","",IF(INDEX('Master Tracker'!$T$6:$T$400,$S40)="","",INDEX('Master Tracker'!$T$6:$T$400,$S40)))</f>
        <v>Not Tested</v>
      </c>
      <c r="P40" t="str">
        <f>IF($S40="","",IF(INDEX('Master Tracker'!$AC$6:$AC$400,$S40)="","",INDEX('Master Tracker'!$AC$6:$AC$400,$S40)))</f>
        <v>Due soon</v>
      </c>
      <c r="S40">
        <f>IFERROR(MATCH("Phase 6|"&amp;A40,'Master Tracker'!$Z$6:$Z$400,0),"")</f>
        <v>93</v>
      </c>
    </row>
    <row r="41">
      <c r="A41">
        <v>5</v>
      </c>
      <c r="B41" t="str">
        <f>IF($S41="","",IF(INDEX('Master Tracker'!$A$6:$A$400,$S41)="","",INDEX('Master Tracker'!$A$6:$A$400,$S41)))</f>
        <v>P6-05</v>
      </c>
      <c r="C41" t="str">
        <f>IF($S41="","",IF(INDEX('Master Tracker'!$C$6:$C$400,$S41)="","",INDEX('Master Tracker'!$C$6:$C$400,$S41)))</f>
        <v>URL Inventory</v>
      </c>
      <c r="D41" t="str">
        <f>IF($S41="","",IF(INDEX('Master Tracker'!$D$6:$D$400,$S41)="","",INDEX('Master Tracker'!$D$6:$D$400,$S41)))</f>
        <v>Export URL inventory (2,645 articles + taxonomies)</v>
      </c>
      <c r="E41" t="str">
        <f>IF($S41="","",IF(INDEX('Master Tracker'!$F$6:$F$400,$S41)="","",INDEX('Master Tracker'!$F$6:$F$400,$S41)))</f>
        <v>P0</v>
      </c>
      <c r="F41" t="str">
        <f>IF($S41="","",IF(INDEX('Master Tracker'!$G$6:$G$400,$S41)="","",INDEX('Master Tracker'!$G$6:$G$400,$S41)))</f>
        <v>Not Started</v>
      </c>
      <c r="G41">
        <f>IF($S41="","",IF(INDEX('Master Tracker'!$H$6:$H$400,$S41)="","",INDEX('Master Tracker'!$H$6:$H$400,$S41)))</f>
        <v>46308</v>
      </c>
      <c r="H41">
        <f>IF($S41="","",IF(INDEX('Master Tracker'!$I$6:$I$400,$S41)="","",INDEX('Master Tracker'!$I$6:$I$400,$S41)))</f>
        <v>46308</v>
      </c>
      <c r="I41">
        <f>IF($S41="","",IF(INDEX('Master Tracker'!$U$6:$U$400,$S41)="","",INDEX('Master Tracker'!$U$6:$U$400,$S41)))</f>
        <v>0</v>
      </c>
      <c r="J41" t="str">
        <f>IF($S41="","",IF(INDEX('Master Tracker'!$K$6:$K$400,$S41)="","",INDEX('Master Tracker'!$K$6:$K$400,$S41)))</f>
        <v>P6-01</v>
      </c>
      <c r="K41" t="str">
        <f>IF($S41="","",IF(INDEX('Master Tracker'!$Y$6:$Y$400,$S41)="","",INDEX('Master Tracker'!$Y$6:$Y$400,$S41)))</f>
        <v>⏳ 1 open</v>
      </c>
      <c r="L41" t="str">
        <f>IF($S41="","",IF(INDEX('Master Tracker'!$M$6:$M$400,$S41)="","",INDEX('Master Tracker'!$M$6:$M$400,$S41)))</f>
        <v>url-inventory.csv</v>
      </c>
      <c r="M41" t="str">
        <f>IF($S41="","",IF(INDEX('Master Tracker'!$O$6:$O$400,$S41)="","",INDEX('Master Tracker'!$O$6:$O$400,$S41)))</f>
        <v>Complete URL inventory saved</v>
      </c>
      <c r="N41" t="str">
        <f>IF($S41="","",IF(INDEX('Master Tracker'!$N$6:$N$400,$S41)="","",INDEX('Master Tracker'!$N$6:$N$400,$S41)))</f>
        <v>Row count = 2,645 articles + taxonomy/page rows</v>
      </c>
      <c r="O41" t="str">
        <f>IF($S41="","",IF(INDEX('Master Tracker'!$T$6:$T$400,$S41)="","",INDEX('Master Tracker'!$T$6:$T$400,$S41)))</f>
        <v>Not Tested</v>
      </c>
      <c r="P41" t="str">
        <f>IF($S41="","",IF(INDEX('Master Tracker'!$AC$6:$AC$400,$S41)="","",INDEX('Master Tracker'!$AC$6:$AC$400,$S41)))</f>
        <v>Due soon</v>
      </c>
      <c r="S41">
        <f>IFERROR(MATCH("Phase 6|"&amp;A41,'Master Tracker'!$Z$6:$Z$400,0),"")</f>
        <v>94</v>
      </c>
    </row>
    <row r="42">
      <c r="A42">
        <v>6</v>
      </c>
      <c r="B42" t="str">
        <f>IF($S42="","",IF(INDEX('Master Tracker'!$A$6:$A$400,$S42)="","",INDEX('Master Tracker'!$A$6:$A$400,$S42)))</f>
        <v>P6-06</v>
      </c>
      <c r="C42" t="str">
        <f>IF($S42="","",IF(INDEX('Master Tracker'!$C$6:$C$400,$S42)="","",INDEX('Master Tracker'!$C$6:$C$400,$S42)))</f>
        <v>SEO Baseline</v>
      </c>
      <c r="D42" t="str">
        <f>IF($S42="","",IF(INDEX('Master Tracker'!$D$6:$D$400,$S42)="","",INDEX('Master Tracker'!$D$6:$D$400,$S42)))</f>
        <v>Capture SEO baseline</v>
      </c>
      <c r="E42" t="str">
        <f>IF($S42="","",IF(INDEX('Master Tracker'!$F$6:$F$400,$S42)="","",INDEX('Master Tracker'!$F$6:$F$400,$S42)))</f>
        <v>P0</v>
      </c>
      <c r="F42" t="str">
        <f>IF($S42="","",IF(INDEX('Master Tracker'!$G$6:$G$400,$S42)="","",INDEX('Master Tracker'!$G$6:$G$400,$S42)))</f>
        <v>Not Started</v>
      </c>
      <c r="G42">
        <f>IF($S42="","",IF(INDEX('Master Tracker'!$H$6:$H$400,$S42)="","",INDEX('Master Tracker'!$H$6:$H$400,$S42)))</f>
        <v>46308</v>
      </c>
      <c r="H42">
        <f>IF($S42="","",IF(INDEX('Master Tracker'!$I$6:$I$400,$S42)="","",INDEX('Master Tracker'!$I$6:$I$400,$S42)))</f>
        <v>46308</v>
      </c>
      <c r="I42">
        <f>IF($S42="","",IF(INDEX('Master Tracker'!$U$6:$U$400,$S42)="","",INDEX('Master Tracker'!$U$6:$U$400,$S42)))</f>
        <v>0</v>
      </c>
      <c r="J42" t="str">
        <f>IF($S42="","",IF(INDEX('Master Tracker'!$K$6:$K$400,$S42)="","",INDEX('Master Tracker'!$K$6:$K$400,$S42)))</f>
        <v>P6-05</v>
      </c>
      <c r="K42" t="str">
        <f>IF($S42="","",IF(INDEX('Master Tracker'!$Y$6:$Y$400,$S42)="","",INDEX('Master Tracker'!$Y$6:$Y$400,$S42)))</f>
        <v>⏳ 1 open</v>
      </c>
      <c r="L42" t="str">
        <f>IF($S42="","",IF(INDEX('Master Tracker'!$M$6:$M$400,$S42)="","",INDEX('Master Tracker'!$M$6:$M$400,$S42)))</f>
        <v>seo-baseline.csv</v>
      </c>
      <c r="M42" t="str">
        <f>IF($S42="","",IF(INDEX('Master Tracker'!$O$6:$O$400,$S42)="","",INDEX('Master Tracker'!$O$6:$O$400,$S42)))</f>
        <v>Baseline available for comparison</v>
      </c>
      <c r="N42" t="str">
        <f>IF($S42="","",IF(INDEX('Master Tracker'!$N$6:$N$400,$S42)="","",INDEX('Master Tracker'!$N$6:$N$400,$S42)))</f>
        <v>Baseline crawl complete; GSC export saved</v>
      </c>
      <c r="O42" t="str">
        <f>IF($S42="","",IF(INDEX('Master Tracker'!$T$6:$T$400,$S42)="","",INDEX('Master Tracker'!$T$6:$T$400,$S42)))</f>
        <v>Not Tested</v>
      </c>
      <c r="P42" t="str">
        <f>IF($S42="","",IF(INDEX('Master Tracker'!$AC$6:$AC$400,$S42)="","",INDEX('Master Tracker'!$AC$6:$AC$400,$S42)))</f>
        <v>Due soon</v>
      </c>
      <c r="S42">
        <f>IFERROR(MATCH("Phase 6|"&amp;A42,'Master Tracker'!$Z$6:$Z$400,0),"")</f>
        <v>95</v>
      </c>
    </row>
    <row r="43">
      <c r="A43">
        <v>7</v>
      </c>
      <c r="B43" t="str">
        <f>IF($S43="","",IF(INDEX('Master Tracker'!$A$6:$A$400,$S43)="","",INDEX('Master Tracker'!$A$6:$A$400,$S43)))</f>
        <v>P6-07</v>
      </c>
      <c r="C43" t="str">
        <f>IF($S43="","",IF(INDEX('Master Tracker'!$C$6:$C$400,$S43)="","",INDEX('Master Tracker'!$C$6:$C$400,$S43)))</f>
        <v>DB Optimization</v>
      </c>
      <c r="D43" t="str">
        <f>IF($S43="","",IF(INDEX('Master Tracker'!$D$6:$D$400,$S43)="","",INDEX('Master Tracker'!$D$6:$D$400,$S43)))</f>
        <v>Safe database optimization (staging first)</v>
      </c>
      <c r="E43" t="str">
        <f>IF($S43="","",IF(INDEX('Master Tracker'!$F$6:$F$400,$S43)="","",INDEX('Master Tracker'!$F$6:$F$400,$S43)))</f>
        <v>P1</v>
      </c>
      <c r="F43" t="str">
        <f>IF($S43="","",IF(INDEX('Master Tracker'!$G$6:$G$400,$S43)="","",INDEX('Master Tracker'!$G$6:$G$400,$S43)))</f>
        <v>Not Started</v>
      </c>
      <c r="G43">
        <f>IF($S43="","",IF(INDEX('Master Tracker'!$H$6:$H$400,$S43)="","",INDEX('Master Tracker'!$H$6:$H$400,$S43)))</f>
        <v>46321</v>
      </c>
      <c r="H43">
        <f>IF($S43="","",IF(INDEX('Master Tracker'!$I$6:$I$400,$S43)="","",INDEX('Master Tracker'!$I$6:$I$400,$S43)))</f>
        <v>46321</v>
      </c>
      <c r="I43">
        <f>IF($S43="","",IF(INDEX('Master Tracker'!$U$6:$U$400,$S43)="","",INDEX('Master Tracker'!$U$6:$U$400,$S43)))</f>
        <v>0</v>
      </c>
      <c r="J43" t="str">
        <f>IF($S43="","",IF(INDEX('Master Tracker'!$K$6:$K$400,$S43)="","",INDEX('Master Tracker'!$K$6:$K$400,$S43)))</f>
        <v>P6-03, P6-04</v>
      </c>
      <c r="K43" t="str">
        <f>IF($S43="","",IF(INDEX('Master Tracker'!$Y$6:$Y$400,$S43)="","",INDEX('Master Tracker'!$Y$6:$Y$400,$S43)))</f>
        <v>⏳ 2 open</v>
      </c>
      <c r="L43" t="str">
        <f>IF($S43="","",IF(INDEX('Master Tracker'!$M$6:$M$400,$S43)="","",INDEX('Master Tracker'!$M$6:$M$400,$S43)))</f>
        <v>wp-config.php (WP_POST_REVISIONS), database</v>
      </c>
      <c r="M43" t="str">
        <f>IF($S43="","",IF(INDEX('Master Tracker'!$O$6:$O$400,$S43)="","",INDEX('Master Tracker'!$O$6:$O$400,$S43)))</f>
        <v>DB smaller and faster with no content loss</v>
      </c>
      <c r="N43" t="str">
        <f>IF($S43="","",IF(INDEX('Master Tracker'!$N$6:$N$400,$S43)="","",INDEX('Master Tracker'!$N$6:$N$400,$S43)))</f>
        <v>Before/after sizes; site regression check</v>
      </c>
      <c r="O43" t="str">
        <f>IF($S43="","",IF(INDEX('Master Tracker'!$T$6:$T$400,$S43)="","",INDEX('Master Tracker'!$T$6:$T$400,$S43)))</f>
        <v>Not Tested</v>
      </c>
      <c r="P43" t="str">
        <f>IF($S43="","",IF(INDEX('Master Tracker'!$AC$6:$AC$400,$S43)="","",INDEX('Master Tracker'!$AC$6:$AC$400,$S43)))</f>
        <v>On track</v>
      </c>
      <c r="S43">
        <f>IFERROR(MATCH("Phase 6|"&amp;A43,'Master Tracker'!$Z$6:$Z$400,0),"")</f>
        <v>96</v>
      </c>
    </row>
    <row r="44">
      <c r="A44">
        <v>8</v>
      </c>
      <c r="B44" t="str">
        <f>IF($S44="","",IF(INDEX('Master Tracker'!$A$6:$A$400,$S44)="","",INDEX('Master Tracker'!$A$6:$A$400,$S44)))</f>
        <v>P6-08</v>
      </c>
      <c r="C44" t="str">
        <f>IF($S44="","",IF(INDEX('Master Tracker'!$C$6:$C$400,$S44)="","",INDEX('Master Tracker'!$C$6:$C$400,$S44)))</f>
        <v>URL Validation</v>
      </c>
      <c r="D44" t="str">
        <f>IF($S44="","",IF(INDEX('Master Tracker'!$D$6:$D$400,$S44)="","",INDEX('Master Tracker'!$D$6:$D$400,$S44)))</f>
        <v>Validate all 2,645 article URLs on staging</v>
      </c>
      <c r="E44" t="str">
        <f>IF($S44="","",IF(INDEX('Master Tracker'!$F$6:$F$400,$S44)="","",INDEX('Master Tracker'!$F$6:$F$400,$S44)))</f>
        <v>P0</v>
      </c>
      <c r="F44" t="str">
        <f>IF($S44="","",IF(INDEX('Master Tracker'!$G$6:$G$400,$S44)="","",INDEX('Master Tracker'!$G$6:$G$400,$S44)))</f>
        <v>Not Started</v>
      </c>
      <c r="G44">
        <f>IF($S44="","",IF(INDEX('Master Tracker'!$H$6:$H$400,$S44)="","",INDEX('Master Tracker'!$H$6:$H$400,$S44)))</f>
        <v>46321</v>
      </c>
      <c r="H44">
        <f>IF($S44="","",IF(INDEX('Master Tracker'!$I$6:$I$400,$S44)="","",INDEX('Master Tracker'!$I$6:$I$400,$S44)))</f>
        <v>46321</v>
      </c>
      <c r="I44">
        <f>IF($S44="","",IF(INDEX('Master Tracker'!$U$6:$U$400,$S44)="","",INDEX('Master Tracker'!$U$6:$U$400,$S44)))</f>
        <v>0</v>
      </c>
      <c r="J44" t="str">
        <f>IF($S44="","",IF(INDEX('Master Tracker'!$K$6:$K$400,$S44)="","",INDEX('Master Tracker'!$K$6:$K$400,$S44)))</f>
        <v>P6-05, P3-16</v>
      </c>
      <c r="K44" t="str">
        <f>IF($S44="","",IF(INDEX('Master Tracker'!$Y$6:$Y$400,$S44)="","",INDEX('Master Tracker'!$Y$6:$Y$400,$S44)))</f>
        <v>⏳ 2 open</v>
      </c>
      <c r="L44" t="str">
        <f>IF($S44="","",IF(INDEX('Master Tracker'!$M$6:$M$400,$S44)="","",INDEX('Master Tracker'!$M$6:$M$400,$S44)))</f>
        <v>url-inventory.csv</v>
      </c>
      <c r="M44" t="str">
        <f>IF($S44="","",IF(INDEX('Master Tracker'!$O$6:$O$400,$S44)="","",INDEX('Master Tracker'!$O$6:$O$400,$S44)))</f>
        <v>2,645/2,645 article URLs return 200 with correct content</v>
      </c>
      <c r="N44" t="str">
        <f>IF($S44="","",IF(INDEX('Master Tracker'!$N$6:$N$400,$S44)="","",INDEX('Master Tracker'!$N$6:$N$400,$S44)))</f>
        <v>Automated crawl; 0 unexpected 404s</v>
      </c>
      <c r="O44" t="str">
        <f>IF($S44="","",IF(INDEX('Master Tracker'!$T$6:$T$400,$S44)="","",INDEX('Master Tracker'!$T$6:$T$400,$S44)))</f>
        <v>Not Tested</v>
      </c>
      <c r="P44" t="str">
        <f>IF($S44="","",IF(INDEX('Master Tracker'!$AC$6:$AC$400,$S44)="","",INDEX('Master Tracker'!$AC$6:$AC$400,$S44)))</f>
        <v>On track</v>
      </c>
      <c r="S44">
        <f>IFERROR(MATCH("Phase 6|"&amp;A44,'Master Tracker'!$Z$6:$Z$400,0),"")</f>
        <v>97</v>
      </c>
    </row>
    <row r="45">
      <c r="A45">
        <v>9</v>
      </c>
      <c r="B45" t="str">
        <f>IF($S45="","",IF(INDEX('Master Tracker'!$A$6:$A$400,$S45)="","",INDEX('Master Tracker'!$A$6:$A$400,$S45)))</f>
        <v>P6-09</v>
      </c>
      <c r="C45" t="str">
        <f>IF($S45="","",IF(INDEX('Master Tracker'!$C$6:$C$400,$S45)="","",INDEX('Master Tracker'!$C$6:$C$400,$S45)))</f>
        <v>SEO</v>
      </c>
      <c r="D45" t="str">
        <f>IF($S45="","",IF(INDEX('Master Tracker'!$D$6:$D$400,$S45)="","",INDEX('Master Tracker'!$D$6:$D$400,$S45)))</f>
        <v>SEO comparison: staging vs baseline</v>
      </c>
      <c r="E45" t="str">
        <f>IF($S45="","",IF(INDEX('Master Tracker'!$F$6:$F$400,$S45)="","",INDEX('Master Tracker'!$F$6:$F$400,$S45)))</f>
        <v>P0</v>
      </c>
      <c r="F45" t="str">
        <f>IF($S45="","",IF(INDEX('Master Tracker'!$G$6:$G$400,$S45)="","",INDEX('Master Tracker'!$G$6:$G$400,$S45)))</f>
        <v>Not Started</v>
      </c>
      <c r="G45">
        <f>IF($S45="","",IF(INDEX('Master Tracker'!$H$6:$H$400,$S45)="","",INDEX('Master Tracker'!$H$6:$H$400,$S45)))</f>
        <v>46321</v>
      </c>
      <c r="H45">
        <f>IF($S45="","",IF(INDEX('Master Tracker'!$I$6:$I$400,$S45)="","",INDEX('Master Tracker'!$I$6:$I$400,$S45)))</f>
        <v>46322</v>
      </c>
      <c r="I45">
        <f>IF($S45="","",IF(INDEX('Master Tracker'!$U$6:$U$400,$S45)="","",INDEX('Master Tracker'!$U$6:$U$400,$S45)))</f>
        <v>0</v>
      </c>
      <c r="J45" t="str">
        <f>IF($S45="","",IF(INDEX('Master Tracker'!$K$6:$K$400,$S45)="","",INDEX('Master Tracker'!$K$6:$K$400,$S45)))</f>
        <v>P6-06, P6-08</v>
      </c>
      <c r="K45" t="str">
        <f>IF($S45="","",IF(INDEX('Master Tracker'!$Y$6:$Y$400,$S45)="","",INDEX('Master Tracker'!$Y$6:$Y$400,$S45)))</f>
        <v>⏳ 2 open</v>
      </c>
      <c r="L45" t="str">
        <f>IF($S45="","",IF(INDEX('Master Tracker'!$M$6:$M$400,$S45)="","",INDEX('Master Tracker'!$M$6:$M$400,$S45)))</f>
        <v>seo-baseline.csv</v>
      </c>
      <c r="M45" t="str">
        <f>IF($S45="","",IF(INDEX('Master Tracker'!$O$6:$O$400,$S45)="","",INDEX('Master Tracker'!$O$6:$O$400,$S45)))</f>
        <v>No SEO regressions vs baseline</v>
      </c>
      <c r="N45" t="str">
        <f>IF($S45="","",IF(INDEX('Master Tracker'!$N$6:$N$400,$S45)="","",INDEX('Master Tracker'!$N$6:$N$400,$S45)))</f>
        <v>Diff report reviewed</v>
      </c>
      <c r="O45" t="str">
        <f>IF($S45="","",IF(INDEX('Master Tracker'!$T$6:$T$400,$S45)="","",INDEX('Master Tracker'!$T$6:$T$400,$S45)))</f>
        <v>Not Tested</v>
      </c>
      <c r="P45" t="str">
        <f>IF($S45="","",IF(INDEX('Master Tracker'!$AC$6:$AC$400,$S45)="","",INDEX('Master Tracker'!$AC$6:$AC$400,$S45)))</f>
        <v>On track</v>
      </c>
      <c r="S45">
        <f>IFERROR(MATCH("Phase 6|"&amp;A45,'Master Tracker'!$Z$6:$Z$400,0),"")</f>
        <v>98</v>
      </c>
    </row>
    <row r="46">
      <c r="A46">
        <v>10</v>
      </c>
      <c r="B46" t="str">
        <f>IF($S46="","",IF(INDEX('Master Tracker'!$A$6:$A$400,$S46)="","",INDEX('Master Tracker'!$A$6:$A$400,$S46)))</f>
        <v>P6-10</v>
      </c>
      <c r="C46" t="str">
        <f>IF($S46="","",IF(INDEX('Master Tracker'!$C$6:$C$400,$S46)="","",INDEX('Master Tracker'!$C$6:$C$400,$S46)))</f>
        <v>SEO</v>
      </c>
      <c r="D46" t="str">
        <f>IF($S46="","",IF(INDEX('Master Tracker'!$D$6:$D$400,$S46)="","",INDEX('Master Tracker'!$D$6:$D$400,$S46)))</f>
        <v>301 redirect map for changed URLs</v>
      </c>
      <c r="E46" t="str">
        <f>IF($S46="","",IF(INDEX('Master Tracker'!$F$6:$F$400,$S46)="","",INDEX('Master Tracker'!$F$6:$F$400,$S46)))</f>
        <v>P1</v>
      </c>
      <c r="F46" t="str">
        <f>IF($S46="","",IF(INDEX('Master Tracker'!$G$6:$G$400,$S46)="","",INDEX('Master Tracker'!$G$6:$G$400,$S46)))</f>
        <v>Not Started</v>
      </c>
      <c r="G46">
        <f>IF($S46="","",IF(INDEX('Master Tracker'!$H$6:$H$400,$S46)="","",INDEX('Master Tracker'!$H$6:$H$400,$S46)))</f>
        <v>46322</v>
      </c>
      <c r="H46">
        <f>IF($S46="","",IF(INDEX('Master Tracker'!$I$6:$I$400,$S46)="","",INDEX('Master Tracker'!$I$6:$I$400,$S46)))</f>
        <v>46322</v>
      </c>
      <c r="I46">
        <f>IF($S46="","",IF(INDEX('Master Tracker'!$U$6:$U$400,$S46)="","",INDEX('Master Tracker'!$U$6:$U$400,$S46)))</f>
        <v>0</v>
      </c>
      <c r="J46" t="str">
        <f>IF($S46="","",IF(INDEX('Master Tracker'!$K$6:$K$400,$S46)="","",INDEX('Master Tracker'!$K$6:$K$400,$S46)))</f>
        <v>P6-08</v>
      </c>
      <c r="K46" t="str">
        <f>IF($S46="","",IF(INDEX('Master Tracker'!$Y$6:$Y$400,$S46)="","",INDEX('Master Tracker'!$Y$6:$Y$400,$S46)))</f>
        <v>⏳ 1 open</v>
      </c>
      <c r="L46" t="str">
        <f>IF($S46="","",IF(INDEX('Master Tracker'!$M$6:$M$400,$S46)="","",INDEX('Master Tracker'!$M$6:$M$400,$S46)))</f>
        <v>inc/redirects.php or Redirection export</v>
      </c>
      <c r="M46" t="str">
        <f>IF($S46="","",IF(INDEX('Master Tracker'!$O$6:$O$400,$S46)="","",INDEX('Master Tracker'!$O$6:$O$400,$S46)))</f>
        <v>All changed URLs 301 to correct targets; no chains</v>
      </c>
      <c r="N46" t="str">
        <f>IF($S46="","",IF(INDEX('Master Tracker'!$N$6:$N$400,$S46)="","",INDEX('Master Tracker'!$N$6:$N$400,$S46)))</f>
        <v>.htaccess / plugin test of each mapping</v>
      </c>
      <c r="O46" t="str">
        <f>IF($S46="","",IF(INDEX('Master Tracker'!$T$6:$T$400,$S46)="","",INDEX('Master Tracker'!$T$6:$T$400,$S46)))</f>
        <v>Not Tested</v>
      </c>
      <c r="P46" t="str">
        <f>IF($S46="","",IF(INDEX('Master Tracker'!$AC$6:$AC$400,$S46)="","",INDEX('Master Tracker'!$AC$6:$AC$400,$S46)))</f>
        <v>On track</v>
      </c>
      <c r="S46">
        <f>IFERROR(MATCH("Phase 6|"&amp;A46,'Master Tracker'!$Z$6:$Z$400,0),"")</f>
        <v>99</v>
      </c>
    </row>
    <row r="47">
      <c r="A47">
        <v>11</v>
      </c>
      <c r="B47" t="str">
        <f>IF($S47="","",IF(INDEX('Master Tracker'!$A$6:$A$400,$S47)="","",INDEX('Master Tracker'!$A$6:$A$400,$S47)))</f>
        <v>P6-11</v>
      </c>
      <c r="C47" t="str">
        <f>IF($S47="","",IF(INDEX('Master Tracker'!$C$6:$C$400,$S47)="","",INDEX('Master Tracker'!$C$6:$C$400,$S47)))</f>
        <v>Performance</v>
      </c>
      <c r="D47" t="str">
        <f>IF($S47="","",IF(INDEX('Master Tracker'!$D$6:$D$400,$S47)="","",INDEX('Master Tracker'!$D$6:$D$400,$S47)))</f>
        <v>Performance optimization (Core Web Vitals)</v>
      </c>
      <c r="E47" t="str">
        <f>IF($S47="","",IF(INDEX('Master Tracker'!$F$6:$F$400,$S47)="","",INDEX('Master Tracker'!$F$6:$F$400,$S47)))</f>
        <v>P0</v>
      </c>
      <c r="F47" t="str">
        <f>IF($S47="","",IF(INDEX('Master Tracker'!$G$6:$G$400,$S47)="","",INDEX('Master Tracker'!$G$6:$G$400,$S47)))</f>
        <v>Not Started</v>
      </c>
      <c r="G47">
        <f>IF($S47="","",IF(INDEX('Master Tracker'!$H$6:$H$400,$S47)="","",INDEX('Master Tracker'!$H$6:$H$400,$S47)))</f>
        <v>46322</v>
      </c>
      <c r="H47">
        <f>IF($S47="","",IF(INDEX('Master Tracker'!$I$6:$I$400,$S47)="","",INDEX('Master Tracker'!$I$6:$I$400,$S47)))</f>
        <v>46323</v>
      </c>
      <c r="I47">
        <f>IF($S47="","",IF(INDEX('Master Tracker'!$U$6:$U$400,$S47)="","",INDEX('Master Tracker'!$U$6:$U$400,$S47)))</f>
        <v>0</v>
      </c>
      <c r="J47" t="str">
        <f>IF($S47="","",IF(INDEX('Master Tracker'!$K$6:$K$400,$S47)="","",INDEX('Master Tracker'!$K$6:$K$400,$S47)))</f>
        <v>P2-24, P3-16, P4-12</v>
      </c>
      <c r="K47" t="str">
        <f>IF($S47="","",IF(INDEX('Master Tracker'!$Y$6:$Y$400,$S47)="","",INDEX('Master Tracker'!$Y$6:$Y$400,$S47)))</f>
        <v>⏳ 3 open</v>
      </c>
      <c r="L47" t="str">
        <f>IF($S47="","",IF(INDEX('Master Tracker'!$M$6:$M$400,$S47)="","",INDEX('Master Tracker'!$M$6:$M$400,$S47)))</f>
        <v>inc/enqueue.php, assets/*</v>
      </c>
      <c r="M47" t="str">
        <f>IF($S47="","",IF(INDEX('Master Tracker'!$O$6:$O$400,$S47)="","",INDEX('Master Tracker'!$O$6:$O$400,$S47)))</f>
        <v>Key templates meet Core Web Vitals targets on mobile</v>
      </c>
      <c r="N47" t="str">
        <f>IF($S47="","",IF(INDEX('Master Tracker'!$N$6:$N$400,$S47)="","",INDEX('Master Tracker'!$N$6:$N$400,$S47)))</f>
        <v>Lighthouse/PageSpeed on homepage, article, category, issue</v>
      </c>
      <c r="O47" t="str">
        <f>IF($S47="","",IF(INDEX('Master Tracker'!$T$6:$T$400,$S47)="","",INDEX('Master Tracker'!$T$6:$T$400,$S47)))</f>
        <v>Not Tested</v>
      </c>
      <c r="P47" t="str">
        <f>IF($S47="","",IF(INDEX('Master Tracker'!$AC$6:$AC$400,$S47)="","",INDEX('Master Tracker'!$AC$6:$AC$400,$S47)))</f>
        <v>On track</v>
      </c>
      <c r="S47">
        <f>IFERROR(MATCH("Phase 6|"&amp;A47,'Master Tracker'!$Z$6:$Z$400,0),"")</f>
        <v>100</v>
      </c>
    </row>
    <row r="48">
      <c r="A48">
        <v>12</v>
      </c>
      <c r="B48" t="str">
        <f>IF($S48="","",IF(INDEX('Master Tracker'!$A$6:$A$400,$S48)="","",INDEX('Master Tracker'!$A$6:$A$400,$S48)))</f>
        <v>P6-12</v>
      </c>
      <c r="C48" t="str">
        <f>IF($S48="","",IF(INDEX('Master Tracker'!$C$6:$C$400,$S48)="","",INDEX('Master Tracker'!$C$6:$C$400,$S48)))</f>
        <v>Caching</v>
      </c>
      <c r="D48" t="str">
        <f>IF($S48="","",IF(INDEX('Master Tracker'!$D$6:$D$400,$S48)="","",INDEX('Master Tracker'!$D$6:$D$400,$S48)))</f>
        <v>LiteSpeed Cache configuration</v>
      </c>
      <c r="E48" t="str">
        <f>IF($S48="","",IF(INDEX('Master Tracker'!$F$6:$F$400,$S48)="","",INDEX('Master Tracker'!$F$6:$F$400,$S48)))</f>
        <v>P0</v>
      </c>
      <c r="F48" t="str">
        <f>IF($S48="","",IF(INDEX('Master Tracker'!$G$6:$G$400,$S48)="","",INDEX('Master Tracker'!$G$6:$G$400,$S48)))</f>
        <v>Not Started</v>
      </c>
      <c r="G48">
        <f>IF($S48="","",IF(INDEX('Master Tracker'!$H$6:$H$400,$S48)="","",INDEX('Master Tracker'!$H$6:$H$400,$S48)))</f>
        <v>46323</v>
      </c>
      <c r="H48">
        <f>IF($S48="","",IF(INDEX('Master Tracker'!$I$6:$I$400,$S48)="","",INDEX('Master Tracker'!$I$6:$I$400,$S48)))</f>
        <v>46323</v>
      </c>
      <c r="I48">
        <f>IF($S48="","",IF(INDEX('Master Tracker'!$U$6:$U$400,$S48)="","",INDEX('Master Tracker'!$U$6:$U$400,$S48)))</f>
        <v>0</v>
      </c>
      <c r="J48" t="str">
        <f>IF($S48="","",IF(INDEX('Master Tracker'!$K$6:$K$400,$S48)="","",INDEX('Master Tracker'!$K$6:$K$400,$S48)))</f>
        <v>P6-11, P2-08</v>
      </c>
      <c r="K48" t="str">
        <f>IF($S48="","",IF(INDEX('Master Tracker'!$Y$6:$Y$400,$S48)="","",INDEX('Master Tracker'!$Y$6:$Y$400,$S48)))</f>
        <v>⏳ 2 open</v>
      </c>
      <c r="L48" t="str">
        <f>IF($S48="","",IF(INDEX('Master Tracker'!$M$6:$M$400,$S48)="","",INDEX('Master Tracker'!$M$6:$M$400,$S48)))</f>
        <v>LiteSpeed Cache settings</v>
      </c>
      <c r="M48" t="str">
        <f>IF($S48="","",IF(INDEX('Master Tracker'!$O$6:$O$400,$S48)="","",INDEX('Master Tracker'!$O$6:$O$400,$S48)))</f>
        <v>Fast cached pages with no cached private content</v>
      </c>
      <c r="N48" t="str">
        <f>IF($S48="","",IF(INDEX('Master Tracker'!$N$6:$N$400,$S48)="","",INDEX('Master Tracker'!$N$6:$N$400,$S48)))</f>
        <v>Logged-in vs guest caching; checkout not cached; purge on publish</v>
      </c>
      <c r="O48" t="str">
        <f>IF($S48="","",IF(INDEX('Master Tracker'!$T$6:$T$400,$S48)="","",INDEX('Master Tracker'!$T$6:$T$400,$S48)))</f>
        <v>Not Tested</v>
      </c>
      <c r="P48" t="str">
        <f>IF($S48="","",IF(INDEX('Master Tracker'!$AC$6:$AC$400,$S48)="","",INDEX('Master Tracker'!$AC$6:$AC$400,$S48)))</f>
        <v>External req.</v>
      </c>
      <c r="S48">
        <f>IFERROR(MATCH("Phase 6|"&amp;A48,'Master Tracker'!$Z$6:$Z$400,0),"")</f>
        <v>101</v>
      </c>
    </row>
    <row r="49">
      <c r="A49">
        <v>13</v>
      </c>
      <c r="B49" t="str">
        <f>IF($S49="","",IF(INDEX('Master Tracker'!$A$6:$A$400,$S49)="","",INDEX('Master Tracker'!$A$6:$A$400,$S49)))</f>
        <v>P6-13</v>
      </c>
      <c r="C49" t="str">
        <f>IF($S49="","",IF(INDEX('Master Tracker'!$C$6:$C$400,$S49)="","",INDEX('Master Tracker'!$C$6:$C$400,$S49)))</f>
        <v>Testing</v>
      </c>
      <c r="D49" t="str">
        <f>IF($S49="","",IF(INDEX('Master Tracker'!$D$6:$D$400,$S49)="","",INDEX('Master Tracker'!$D$6:$D$400,$S49)))</f>
        <v>Responsive testing</v>
      </c>
      <c r="E49" t="str">
        <f>IF($S49="","",IF(INDEX('Master Tracker'!$F$6:$F$400,$S49)="","",INDEX('Master Tracker'!$F$6:$F$400,$S49)))</f>
        <v>P0</v>
      </c>
      <c r="F49" t="str">
        <f>IF($S49="","",IF(INDEX('Master Tracker'!$G$6:$G$400,$S49)="","",INDEX('Master Tracker'!$G$6:$G$400,$S49)))</f>
        <v>Not Started</v>
      </c>
      <c r="G49">
        <f>IF($S49="","",IF(INDEX('Master Tracker'!$H$6:$H$400,$S49)="","",INDEX('Master Tracker'!$H$6:$H$400,$S49)))</f>
        <v>46323</v>
      </c>
      <c r="H49">
        <f>IF($S49="","",IF(INDEX('Master Tracker'!$I$6:$I$400,$S49)="","",INDEX('Master Tracker'!$I$6:$I$400,$S49)))</f>
        <v>46323</v>
      </c>
      <c r="I49">
        <f>IF($S49="","",IF(INDEX('Master Tracker'!$U$6:$U$400,$S49)="","",INDEX('Master Tracker'!$U$6:$U$400,$S49)))</f>
        <v>0</v>
      </c>
      <c r="J49" t="str">
        <f>IF($S49="","",IF(INDEX('Master Tracker'!$K$6:$K$400,$S49)="","",INDEX('Master Tracker'!$K$6:$K$400,$S49)))</f>
        <v>P6-11</v>
      </c>
      <c r="K49" t="str">
        <f>IF($S49="","",IF(INDEX('Master Tracker'!$Y$6:$Y$400,$S49)="","",INDEX('Master Tracker'!$Y$6:$Y$400,$S49)))</f>
        <v>⏳ 1 open</v>
      </c>
      <c r="L49" t="str">
        <f>IF($S49="","",IF(INDEX('Master Tracker'!$M$6:$M$400,$S49)="","",INDEX('Master Tracker'!$M$6:$M$400,$S49)))</f>
        <v>—</v>
      </c>
      <c r="M49" t="str">
        <f>IF($S49="","",IF(INDEX('Master Tracker'!$O$6:$O$400,$S49)="","",INDEX('Master Tracker'!$O$6:$O$400,$S49)))</f>
        <v>All templates pass responsive checks</v>
      </c>
      <c r="N49" t="str">
        <f>IF($S49="","",IF(INDEX('Master Tracker'!$N$6:$N$400,$S49)="","",INDEX('Master Tracker'!$N$6:$N$400,$S49)))</f>
        <v>QA sheet: Mobile Responsiveness rows</v>
      </c>
      <c r="O49" t="str">
        <f>IF($S49="","",IF(INDEX('Master Tracker'!$T$6:$T$400,$S49)="","",INDEX('Master Tracker'!$T$6:$T$400,$S49)))</f>
        <v>Not Tested</v>
      </c>
      <c r="P49" t="str">
        <f>IF($S49="","",IF(INDEX('Master Tracker'!$AC$6:$AC$400,$S49)="","",INDEX('Master Tracker'!$AC$6:$AC$400,$S49)))</f>
        <v>On track</v>
      </c>
      <c r="S49">
        <f>IFERROR(MATCH("Phase 6|"&amp;A49,'Master Tracker'!$Z$6:$Z$400,0),"")</f>
        <v>102</v>
      </c>
    </row>
    <row r="50">
      <c r="A50">
        <v>14</v>
      </c>
      <c r="B50" t="str">
        <f>IF($S50="","",IF(INDEX('Master Tracker'!$A$6:$A$400,$S50)="","",INDEX('Master Tracker'!$A$6:$A$400,$S50)))</f>
        <v>P6-14</v>
      </c>
      <c r="C50" t="str">
        <f>IF($S50="","",IF(INDEX('Master Tracker'!$C$6:$C$400,$S50)="","",INDEX('Master Tracker'!$C$6:$C$400,$S50)))</f>
        <v>Testing</v>
      </c>
      <c r="D50" t="str">
        <f>IF($S50="","",IF(INDEX('Master Tracker'!$D$6:$D$400,$S50)="","",INDEX('Master Tracker'!$D$6:$D$400,$S50)))</f>
        <v>Cross-browser testing</v>
      </c>
      <c r="E50" t="str">
        <f>IF($S50="","",IF(INDEX('Master Tracker'!$F$6:$F$400,$S50)="","",INDEX('Master Tracker'!$F$6:$F$400,$S50)))</f>
        <v>P0</v>
      </c>
      <c r="F50" t="str">
        <f>IF($S50="","",IF(INDEX('Master Tracker'!$G$6:$G$400,$S50)="","",INDEX('Master Tracker'!$G$6:$G$400,$S50)))</f>
        <v>Not Started</v>
      </c>
      <c r="G50">
        <f>IF($S50="","",IF(INDEX('Master Tracker'!$H$6:$H$400,$S50)="","",INDEX('Master Tracker'!$H$6:$H$400,$S50)))</f>
        <v>46323</v>
      </c>
      <c r="H50">
        <f>IF($S50="","",IF(INDEX('Master Tracker'!$I$6:$I$400,$S50)="","",INDEX('Master Tracker'!$I$6:$I$400,$S50)))</f>
        <v>46324</v>
      </c>
      <c r="I50">
        <f>IF($S50="","",IF(INDEX('Master Tracker'!$U$6:$U$400,$S50)="","",INDEX('Master Tracker'!$U$6:$U$400,$S50)))</f>
        <v>0</v>
      </c>
      <c r="J50" t="str">
        <f>IF($S50="","",IF(INDEX('Master Tracker'!$K$6:$K$400,$S50)="","",INDEX('Master Tracker'!$K$6:$K$400,$S50)))</f>
        <v>P6-13</v>
      </c>
      <c r="K50" t="str">
        <f>IF($S50="","",IF(INDEX('Master Tracker'!$Y$6:$Y$400,$S50)="","",INDEX('Master Tracker'!$Y$6:$Y$400,$S50)))</f>
        <v>⏳ 1 open</v>
      </c>
      <c r="L50" t="str">
        <f>IF($S50="","",IF(INDEX('Master Tracker'!$M$6:$M$400,$S50)="","",INDEX('Master Tracker'!$M$6:$M$400,$S50)))</f>
        <v>—</v>
      </c>
      <c r="M50" t="str">
        <f>IF($S50="","",IF(INDEX('Master Tracker'!$O$6:$O$400,$S50)="","",INDEX('Master Tracker'!$O$6:$O$400,$S50)))</f>
        <v>No blocking issues in supported browsers</v>
      </c>
      <c r="N50" t="str">
        <f>IF($S50="","",IF(INDEX('Master Tracker'!$N$6:$N$400,$S50)="","",INDEX('Master Tracker'!$N$6:$N$400,$S50)))</f>
        <v>QA sheet: Browser Compatibility rows</v>
      </c>
      <c r="O50" t="str">
        <f>IF($S50="","",IF(INDEX('Master Tracker'!$T$6:$T$400,$S50)="","",INDEX('Master Tracker'!$T$6:$T$400,$S50)))</f>
        <v>Not Tested</v>
      </c>
      <c r="P50" t="str">
        <f>IF($S50="","",IF(INDEX('Master Tracker'!$AC$6:$AC$400,$S50)="","",INDEX('Master Tracker'!$AC$6:$AC$400,$S50)))</f>
        <v>On track</v>
      </c>
      <c r="S50">
        <f>IFERROR(MATCH("Phase 6|"&amp;A50,'Master Tracker'!$Z$6:$Z$400,0),"")</f>
        <v>103</v>
      </c>
    </row>
    <row r="51">
      <c r="A51">
        <v>15</v>
      </c>
      <c r="B51" t="str">
        <f>IF($S51="","",IF(INDEX('Master Tracker'!$A$6:$A$400,$S51)="","",INDEX('Master Tracker'!$A$6:$A$400,$S51)))</f>
        <v>P6-15</v>
      </c>
      <c r="C51" t="str">
        <f>IF($S51="","",IF(INDEX('Master Tracker'!$C$6:$C$400,$S51)="","",INDEX('Master Tracker'!$C$6:$C$400,$S51)))</f>
        <v>Security</v>
      </c>
      <c r="D51" t="str">
        <f>IF($S51="","",IF(INDEX('Master Tracker'!$D$6:$D$400,$S51)="","",INDEX('Master Tracker'!$D$6:$D$400,$S51)))</f>
        <v>Security verification</v>
      </c>
      <c r="E51" t="str">
        <f>IF($S51="","",IF(INDEX('Master Tracker'!$F$6:$F$400,$S51)="","",INDEX('Master Tracker'!$F$6:$F$400,$S51)))</f>
        <v>P0</v>
      </c>
      <c r="F51" t="str">
        <f>IF($S51="","",IF(INDEX('Master Tracker'!$G$6:$G$400,$S51)="","",INDEX('Master Tracker'!$G$6:$G$400,$S51)))</f>
        <v>Not Started</v>
      </c>
      <c r="G51">
        <f>IF($S51="","",IF(INDEX('Master Tracker'!$H$6:$H$400,$S51)="","",INDEX('Master Tracker'!$H$6:$H$400,$S51)))</f>
        <v>46324</v>
      </c>
      <c r="H51">
        <f>IF($S51="","",IF(INDEX('Master Tracker'!$I$6:$I$400,$S51)="","",INDEX('Master Tracker'!$I$6:$I$400,$S51)))</f>
        <v>46324</v>
      </c>
      <c r="I51">
        <f>IF($S51="","",IF(INDEX('Master Tracker'!$U$6:$U$400,$S51)="","",INDEX('Master Tracker'!$U$6:$U$400,$S51)))</f>
        <v>0</v>
      </c>
      <c r="J51" t="str">
        <f>IF($S51="","",IF(INDEX('Master Tracker'!$K$6:$K$400,$S51)="","",INDEX('Master Tracker'!$K$6:$K$400,$S51)))</f>
        <v>P5-12</v>
      </c>
      <c r="K51" t="str">
        <f>IF($S51="","",IF(INDEX('Master Tracker'!$Y$6:$Y$400,$S51)="","",INDEX('Master Tracker'!$Y$6:$Y$400,$S51)))</f>
        <v>⏳ 1 open</v>
      </c>
      <c r="L51" t="str">
        <f>IF($S51="","",IF(INDEX('Master Tracker'!$M$6:$M$400,$S51)="","",INDEX('Master Tracker'!$M$6:$M$400,$S51)))</f>
        <v>wp-config.php, .htaccess</v>
      </c>
      <c r="M51" t="str">
        <f>IF($S51="","",IF(INDEX('Master Tracker'!$O$6:$O$400,$S51)="","",INDEX('Master Tracker'!$O$6:$O$400,$S51)))</f>
        <v>No high-severity findings open</v>
      </c>
      <c r="N51" t="str">
        <f>IF($S51="","",IF(INDEX('Master Tracker'!$N$6:$N$400,$S51)="","",INDEX('Master Tracker'!$N$6:$N$400,$S51)))</f>
        <v>QA sheet: Security rows; header scan</v>
      </c>
      <c r="O51" t="str">
        <f>IF($S51="","",IF(INDEX('Master Tracker'!$T$6:$T$400,$S51)="","",INDEX('Master Tracker'!$T$6:$T$400,$S51)))</f>
        <v>Not Tested</v>
      </c>
      <c r="P51" t="str">
        <f>IF($S51="","",IF(INDEX('Master Tracker'!$AC$6:$AC$400,$S51)="","",INDEX('Master Tracker'!$AC$6:$AC$400,$S51)))</f>
        <v>External req.</v>
      </c>
      <c r="S51">
        <f>IFERROR(MATCH("Phase 6|"&amp;A51,'Master Tracker'!$Z$6:$Z$400,0),"")</f>
        <v>104</v>
      </c>
    </row>
    <row r="52">
      <c r="A52">
        <v>16</v>
      </c>
      <c r="B52" t="str">
        <f>IF($S52="","",IF(INDEX('Master Tracker'!$A$6:$A$400,$S52)="","",INDEX('Master Tracker'!$A$6:$A$400,$S52)))</f>
        <v>P6-16</v>
      </c>
      <c r="C52" t="str">
        <f>IF($S52="","",IF(INDEX('Master Tracker'!$C$6:$C$400,$S52)="","",INDEX('Master Tracker'!$C$6:$C$400,$S52)))</f>
        <v>Testing</v>
      </c>
      <c r="D52" t="str">
        <f>IF($S52="","",IF(INDEX('Master Tracker'!$D$6:$D$400,$S52)="","",INDEX('Master Tracker'!$D$6:$D$400,$S52)))</f>
        <v>Full QA regression run</v>
      </c>
      <c r="E52" t="str">
        <f>IF($S52="","",IF(INDEX('Master Tracker'!$F$6:$F$400,$S52)="","",INDEX('Master Tracker'!$F$6:$F$400,$S52)))</f>
        <v>P0</v>
      </c>
      <c r="F52" t="str">
        <f>IF($S52="","",IF(INDEX('Master Tracker'!$G$6:$G$400,$S52)="","",INDEX('Master Tracker'!$G$6:$G$400,$S52)))</f>
        <v>Not Started</v>
      </c>
      <c r="G52">
        <f>IF($S52="","",IF(INDEX('Master Tracker'!$H$6:$H$400,$S52)="","",INDEX('Master Tracker'!$H$6:$H$400,$S52)))</f>
        <v>46324</v>
      </c>
      <c r="H52">
        <f>IF($S52="","",IF(INDEX('Master Tracker'!$I$6:$I$400,$S52)="","",INDEX('Master Tracker'!$I$6:$I$400,$S52)))</f>
        <v>46325</v>
      </c>
      <c r="I52">
        <f>IF($S52="","",IF(INDEX('Master Tracker'!$U$6:$U$400,$S52)="","",INDEX('Master Tracker'!$U$6:$U$400,$S52)))</f>
        <v>0</v>
      </c>
      <c r="J52" t="str">
        <f>IF($S52="","",IF(INDEX('Master Tracker'!$K$6:$K$400,$S52)="","",INDEX('Master Tracker'!$K$6:$K$400,$S52)))</f>
        <v>P6-13, P6-14</v>
      </c>
      <c r="K52" t="str">
        <f>IF($S52="","",IF(INDEX('Master Tracker'!$Y$6:$Y$400,$S52)="","",INDEX('Master Tracker'!$Y$6:$Y$400,$S52)))</f>
        <v>⏳ 2 open</v>
      </c>
      <c r="L52" t="str">
        <f>IF($S52="","",IF(INDEX('Master Tracker'!$M$6:$M$400,$S52)="","",INDEX('Master Tracker'!$M$6:$M$400,$S52)))</f>
        <v>—</v>
      </c>
      <c r="M52" t="str">
        <f>IF($S52="","",IF(INDEX('Master Tracker'!$O$6:$O$400,$S52)="","",INDEX('Master Tracker'!$O$6:$O$400,$S52)))</f>
        <v>All P0 test cases pass</v>
      </c>
      <c r="N52" t="str">
        <f>IF($S52="","",IF(INDEX('Master Tracker'!$N$6:$N$400,$S52)="","",INDEX('Master Tracker'!$N$6:$N$400,$S52)))</f>
        <v>QA sheet completion = 100%</v>
      </c>
      <c r="O52" t="str">
        <f>IF($S52="","",IF(INDEX('Master Tracker'!$T$6:$T$400,$S52)="","",INDEX('Master Tracker'!$T$6:$T$400,$S52)))</f>
        <v>Not Tested</v>
      </c>
      <c r="P52" t="str">
        <f>IF($S52="","",IF(INDEX('Master Tracker'!$AC$6:$AC$400,$S52)="","",INDEX('Master Tracker'!$AC$6:$AC$400,$S52)))</f>
        <v>On track</v>
      </c>
      <c r="S52">
        <f>IFERROR(MATCH("Phase 6|"&amp;A52,'Master Tracker'!$Z$6:$Z$400,0),"")</f>
        <v>105</v>
      </c>
    </row>
    <row r="53">
      <c r="A53">
        <v>17</v>
      </c>
      <c r="B53" t="str">
        <f>IF($S53="","",IF(INDEX('Master Tracker'!$A$6:$A$400,$S53)="","",INDEX('Master Tracker'!$A$6:$A$400,$S53)))</f>
        <v>P6-17</v>
      </c>
      <c r="C53" t="str">
        <f>IF($S53="","",IF(INDEX('Master Tracker'!$C$6:$C$400,$S53)="","",INDEX('Master Tracker'!$C$6:$C$400,$S53)))</f>
        <v>Bug Fixing</v>
      </c>
      <c r="D53" t="str">
        <f>IF($S53="","",IF(INDEX('Master Tracker'!$D$6:$D$400,$S53)="","",INDEX('Master Tracker'!$D$6:$D$400,$S53)))</f>
        <v>Defect fixing buffer</v>
      </c>
      <c r="E53" t="str">
        <f>IF($S53="","",IF(INDEX('Master Tracker'!$F$6:$F$400,$S53)="","",INDEX('Master Tracker'!$F$6:$F$400,$S53)))</f>
        <v>P0</v>
      </c>
      <c r="F53" t="str">
        <f>IF($S53="","",IF(INDEX('Master Tracker'!$G$6:$G$400,$S53)="","",INDEX('Master Tracker'!$G$6:$G$400,$S53)))</f>
        <v>Not Started</v>
      </c>
      <c r="G53">
        <f>IF($S53="","",IF(INDEX('Master Tracker'!$H$6:$H$400,$S53)="","",INDEX('Master Tracker'!$H$6:$H$400,$S53)))</f>
        <v>46325</v>
      </c>
      <c r="H53">
        <f>IF($S53="","",IF(INDEX('Master Tracker'!$I$6:$I$400,$S53)="","",INDEX('Master Tracker'!$I$6:$I$400,$S53)))</f>
        <v>46326</v>
      </c>
      <c r="I53">
        <f>IF($S53="","",IF(INDEX('Master Tracker'!$U$6:$U$400,$S53)="","",INDEX('Master Tracker'!$U$6:$U$400,$S53)))</f>
        <v>0</v>
      </c>
      <c r="J53" t="str">
        <f>IF($S53="","",IF(INDEX('Master Tracker'!$K$6:$K$400,$S53)="","",INDEX('Master Tracker'!$K$6:$K$400,$S53)))</f>
        <v>P6-16</v>
      </c>
      <c r="K53" t="str">
        <f>IF($S53="","",IF(INDEX('Master Tracker'!$Y$6:$Y$400,$S53)="","",INDEX('Master Tracker'!$Y$6:$Y$400,$S53)))</f>
        <v>⏳ 1 open</v>
      </c>
      <c r="L53" t="str">
        <f>IF($S53="","",IF(INDEX('Master Tracker'!$M$6:$M$400,$S53)="","",INDEX('Master Tracker'!$M$6:$M$400,$S53)))</f>
        <v>—</v>
      </c>
      <c r="M53" t="str">
        <f>IF($S53="","",IF(INDEX('Master Tracker'!$O$6:$O$400,$S53)="","",INDEX('Master Tracker'!$O$6:$O$400,$S53)))</f>
        <v>No open P0/P1 defects</v>
      </c>
      <c r="N53" t="str">
        <f>IF($S53="","",IF(INDEX('Master Tracker'!$N$6:$N$400,$S53)="","",INDEX('Master Tracker'!$N$6:$N$400,$S53)))</f>
        <v>Re-test fixed defects</v>
      </c>
      <c r="O53" t="str">
        <f>IF($S53="","",IF(INDEX('Master Tracker'!$T$6:$T$400,$S53)="","",INDEX('Master Tracker'!$T$6:$T$400,$S53)))</f>
        <v>Not Tested</v>
      </c>
      <c r="P53" t="str">
        <f>IF($S53="","",IF(INDEX('Master Tracker'!$AC$6:$AC$400,$S53)="","",INDEX('Master Tracker'!$AC$6:$AC$400,$S53)))</f>
        <v>On track</v>
      </c>
      <c r="S53">
        <f>IFERROR(MATCH("Phase 6|"&amp;A53,'Master Tracker'!$Z$6:$Z$400,0),"")</f>
        <v>106</v>
      </c>
    </row>
    <row r="54">
      <c r="A54">
        <v>18</v>
      </c>
      <c r="B54" t="str">
        <f>IF($S54="","",IF(INDEX('Master Tracker'!$A$6:$A$400,$S54)="","",INDEX('Master Tracker'!$A$6:$A$400,$S54)))</f>
        <v>P6-18</v>
      </c>
      <c r="C54" t="str">
        <f>IF($S54="","",IF(INDEX('Master Tracker'!$C$6:$C$400,$S54)="","",INDEX('Master Tracker'!$C$6:$C$400,$S54)))</f>
        <v>Readiness</v>
      </c>
      <c r="D54" t="str">
        <f>IF($S54="","",IF(INDEX('Master Tracker'!$D$6:$D$400,$S54)="","",INDEX('Master Tracker'!$D$6:$D$400,$S54)))</f>
        <v>Deployment readiness review &amp; client UAT sign-off</v>
      </c>
      <c r="E54" t="str">
        <f>IF($S54="","",IF(INDEX('Master Tracker'!$F$6:$F$400,$S54)="","",INDEX('Master Tracker'!$F$6:$F$400,$S54)))</f>
        <v>P0</v>
      </c>
      <c r="F54" t="str">
        <f>IF($S54="","",IF(INDEX('Master Tracker'!$G$6:$G$400,$S54)="","",INDEX('Master Tracker'!$G$6:$G$400,$S54)))</f>
        <v>Not Started</v>
      </c>
      <c r="G54">
        <f>IF($S54="","",IF(INDEX('Master Tracker'!$H$6:$H$400,$S54)="","",INDEX('Master Tracker'!$H$6:$H$400,$S54)))</f>
        <v>46326</v>
      </c>
      <c r="H54">
        <f>IF($S54="","",IF(INDEX('Master Tracker'!$I$6:$I$400,$S54)="","",INDEX('Master Tracker'!$I$6:$I$400,$S54)))</f>
        <v>46326</v>
      </c>
      <c r="I54">
        <f>IF($S54="","",IF(INDEX('Master Tracker'!$U$6:$U$400,$S54)="","",INDEX('Master Tracker'!$U$6:$U$400,$S54)))</f>
        <v>0</v>
      </c>
      <c r="J54" t="str">
        <f>IF($S54="","",IF(INDEX('Master Tracker'!$K$6:$K$400,$S54)="","",INDEX('Master Tracker'!$K$6:$K$400,$S54)))</f>
        <v>P6-17</v>
      </c>
      <c r="K54" t="str">
        <f>IF($S54="","",IF(INDEX('Master Tracker'!$Y$6:$Y$400,$S54)="","",INDEX('Master Tracker'!$Y$6:$Y$400,$S54)))</f>
        <v>⏳ 1 open</v>
      </c>
      <c r="L54" t="str">
        <f>IF($S54="","",IF(INDEX('Master Tracker'!$M$6:$M$400,$S54)="","",INDEX('Master Tracker'!$M$6:$M$400,$S54)))</f>
        <v>—</v>
      </c>
      <c r="M54" t="str">
        <f>IF($S54="","",IF(INDEX('Master Tracker'!$O$6:$O$400,$S54)="","",INDEX('Master Tracker'!$O$6:$O$400,$S54)))</f>
        <v>Written client approval to deploy</v>
      </c>
      <c r="N54" t="str">
        <f>IF($S54="","",IF(INDEX('Master Tracker'!$N$6:$N$400,$S54)="","",INDEX('Master Tracker'!$N$6:$N$400,$S54)))</f>
        <v>Deployment sheet stage 1 complete</v>
      </c>
      <c r="O54" t="str">
        <f>IF($S54="","",IF(INDEX('Master Tracker'!$T$6:$T$400,$S54)="","",INDEX('Master Tracker'!$T$6:$T$400,$S54)))</f>
        <v>Not Tested</v>
      </c>
      <c r="P54" t="str">
        <f>IF($S54="","",IF(INDEX('Master Tracker'!$AC$6:$AC$400,$S54)="","",INDEX('Master Tracker'!$AC$6:$AC$400,$S54)))</f>
        <v>On track</v>
      </c>
      <c r="S54">
        <f>IFERROR(MATCH("Phase 6|"&amp;A54,'Master Tracker'!$Z$6:$Z$400,0),"")</f>
        <v>107</v>
      </c>
    </row>
    <row r="55">
      <c r="A55">
        <v>19</v>
      </c>
      <c r="B55" t="str">
        <f>IF($S55="","",IF(INDEX('Master Tracker'!$A$6:$A$400,$S55)="","",INDEX('Master Tracker'!$A$6:$A$400,$S55)))</f>
        <v>P6-19</v>
      </c>
      <c r="C55" t="str">
        <f>IF($S55="","",IF(INDEX('Master Tracker'!$C$6:$C$400,$S55)="","",INDEX('Master Tracker'!$C$6:$C$400,$S55)))</f>
        <v>Rollback</v>
      </c>
      <c r="D55" t="str">
        <f>IF($S55="","",IF(INDEX('Master Tracker'!$D$6:$D$400,$S55)="","",INDEX('Master Tracker'!$D$6:$D$400,$S55)))</f>
        <v>Rollback plan documented &amp; rehearsed</v>
      </c>
      <c r="E55" t="str">
        <f>IF($S55="","",IF(INDEX('Master Tracker'!$F$6:$F$400,$S55)="","",INDEX('Master Tracker'!$F$6:$F$400,$S55)))</f>
        <v>P0</v>
      </c>
      <c r="F55" t="str">
        <f>IF($S55="","",IF(INDEX('Master Tracker'!$G$6:$G$400,$S55)="","",INDEX('Master Tracker'!$G$6:$G$400,$S55)))</f>
        <v>Not Started</v>
      </c>
      <c r="G55">
        <f>IF($S55="","",IF(INDEX('Master Tracker'!$H$6:$H$400,$S55)="","",INDEX('Master Tracker'!$H$6:$H$400,$S55)))</f>
        <v>46326</v>
      </c>
      <c r="H55">
        <f>IF($S55="","",IF(INDEX('Master Tracker'!$I$6:$I$400,$S55)="","",INDEX('Master Tracker'!$I$6:$I$400,$S55)))</f>
        <v>46326</v>
      </c>
      <c r="I55">
        <f>IF($S55="","",IF(INDEX('Master Tracker'!$U$6:$U$400,$S55)="","",INDEX('Master Tracker'!$U$6:$U$400,$S55)))</f>
        <v>0</v>
      </c>
      <c r="J55" t="str">
        <f>IF($S55="","",IF(INDEX('Master Tracker'!$K$6:$K$400,$S55)="","",INDEX('Master Tracker'!$K$6:$K$400,$S55)))</f>
        <v>P6-01</v>
      </c>
      <c r="K55" t="str">
        <f>IF($S55="","",IF(INDEX('Master Tracker'!$Y$6:$Y$400,$S55)="","",INDEX('Master Tracker'!$Y$6:$Y$400,$S55)))</f>
        <v>⏳ 1 open</v>
      </c>
      <c r="L55" t="str">
        <f>IF($S55="","",IF(INDEX('Master Tracker'!$M$6:$M$400,$S55)="","",INDEX('Master Tracker'!$M$6:$M$400,$S55)))</f>
        <v>Deployment &amp; Rollback sheet</v>
      </c>
      <c r="M55" t="str">
        <f>IF($S55="","",IF(INDEX('Master Tracker'!$O$6:$O$400,$S55)="","",INDEX('Master Tracker'!$O$6:$O$400,$S55)))</f>
        <v>Rollback achievable within agreed window (target &lt; 30 min)</v>
      </c>
      <c r="N55" t="str">
        <f>IF($S55="","",IF(INDEX('Master Tracker'!$N$6:$N$400,$S55)="","",INDEX('Master Tracker'!$N$6:$N$400,$S55)))</f>
        <v>Timed rehearsal</v>
      </c>
      <c r="O55" t="str">
        <f>IF($S55="","",IF(INDEX('Master Tracker'!$T$6:$T$400,$S55)="","",INDEX('Master Tracker'!$T$6:$T$400,$S55)))</f>
        <v>Not Tested</v>
      </c>
      <c r="P55" t="str">
        <f>IF($S55="","",IF(INDEX('Master Tracker'!$AC$6:$AC$400,$S55)="","",INDEX('Master Tracker'!$AC$6:$AC$400,$S55)))</f>
        <v>External req.</v>
      </c>
      <c r="S55">
        <f>IFERROR(MATCH("Phase 6|"&amp;A55,'Master Tracker'!$Z$6:$Z$400,0),"")</f>
        <v>108</v>
      </c>
    </row>
    <row r="56">
      <c r="A56">
        <v>20</v>
      </c>
      <c r="B56" t="str">
        <f>IF($S56="","",IF(INDEX('Master Tracker'!$A$6:$A$400,$S56)="","",INDEX('Master Tracker'!$A$6:$A$400,$S56)))</f>
        <v>P6-20</v>
      </c>
      <c r="C56" t="str">
        <f>IF($S56="","",IF(INDEX('Master Tracker'!$C$6:$C$400,$S56)="","",INDEX('Master Tracker'!$C$6:$C$400,$S56)))</f>
        <v>Backup</v>
      </c>
      <c r="D56" t="str">
        <f>IF($S56="","",IF(INDEX('Master Tracker'!$D$6:$D$400,$S56)="","",INDEX('Master Tracker'!$D$6:$D$400,$S56)))</f>
        <v>Fresh pre-cutover production backup</v>
      </c>
      <c r="E56" t="str">
        <f>IF($S56="","",IF(INDEX('Master Tracker'!$F$6:$F$400,$S56)="","",INDEX('Master Tracker'!$F$6:$F$400,$S56)))</f>
        <v>P0</v>
      </c>
      <c r="F56" t="str">
        <f>IF($S56="","",IF(INDEX('Master Tracker'!$G$6:$G$400,$S56)="","",INDEX('Master Tracker'!$G$6:$G$400,$S56)))</f>
        <v>Not Started</v>
      </c>
      <c r="G56">
        <f>IF($S56="","",IF(INDEX('Master Tracker'!$H$6:$H$400,$S56)="","",INDEX('Master Tracker'!$H$6:$H$400,$S56)))</f>
        <v>46326</v>
      </c>
      <c r="H56">
        <f>IF($S56="","",IF(INDEX('Master Tracker'!$I$6:$I$400,$S56)="","",INDEX('Master Tracker'!$I$6:$I$400,$S56)))</f>
        <v>46326</v>
      </c>
      <c r="I56">
        <f>IF($S56="","",IF(INDEX('Master Tracker'!$U$6:$U$400,$S56)="","",INDEX('Master Tracker'!$U$6:$U$400,$S56)))</f>
        <v>0</v>
      </c>
      <c r="J56" t="str">
        <f>IF($S56="","",IF(INDEX('Master Tracker'!$K$6:$K$400,$S56)="","",INDEX('Master Tracker'!$K$6:$K$400,$S56)))</f>
        <v>P6-18</v>
      </c>
      <c r="K56" t="str">
        <f>IF($S56="","",IF(INDEX('Master Tracker'!$Y$6:$Y$400,$S56)="","",INDEX('Master Tracker'!$Y$6:$Y$400,$S56)))</f>
        <v>⏳ 1 open</v>
      </c>
      <c r="L56" t="str">
        <f>IF($S56="","",IF(INDEX('Master Tracker'!$M$6:$M$400,$S56)="","",INDEX('Master Tracker'!$M$6:$M$400,$S56)))</f>
        <v>backups/ (off-server)</v>
      </c>
      <c r="M56" t="str">
        <f>IF($S56="","",IF(INDEX('Master Tracker'!$O$6:$O$400,$S56)="","",INDEX('Master Tracker'!$O$6:$O$400,$S56)))</f>
        <v>Verified backup timestamped before cutover</v>
      </c>
      <c r="N56" t="str">
        <f>IF($S56="","",IF(INDEX('Master Tracker'!$N$6:$N$400,$S56)="","",INDEX('Master Tracker'!$N$6:$N$400,$S56)))</f>
        <v>Checksum + test import</v>
      </c>
      <c r="O56" t="str">
        <f>IF($S56="","",IF(INDEX('Master Tracker'!$T$6:$T$400,$S56)="","",INDEX('Master Tracker'!$T$6:$T$400,$S56)))</f>
        <v>Not Tested</v>
      </c>
      <c r="P56" t="str">
        <f>IF($S56="","",IF(INDEX('Master Tracker'!$AC$6:$AC$400,$S56)="","",INDEX('Master Tracker'!$AC$6:$AC$400,$S56)))</f>
        <v>External req.</v>
      </c>
      <c r="S56">
        <f>IFERROR(MATCH("Phase 6|"&amp;A56,'Master Tracker'!$Z$6:$Z$400,0),"")</f>
        <v>109</v>
      </c>
    </row>
    <row r="57">
      <c r="A57">
        <v>21</v>
      </c>
      <c r="B57" t="str">
        <f>IF($S57="","",IF(INDEX('Master Tracker'!$A$6:$A$400,$S57)="","",INDEX('Master Tracker'!$A$6:$A$400,$S57)))</f>
        <v>P6-21</v>
      </c>
      <c r="C57" t="str">
        <f>IF($S57="","",IF(INDEX('Master Tracker'!$C$6:$C$400,$S57)="","",INDEX('Master Tracker'!$C$6:$C$400,$S57)))</f>
        <v>Cutover</v>
      </c>
      <c r="D57" t="str">
        <f>IF($S57="","",IF(INDEX('Master Tracker'!$D$6:$D$400,$S57)="","",INDEX('Master Tracker'!$D$6:$D$400,$S57)))</f>
        <v>Production cutover</v>
      </c>
      <c r="E57" t="str">
        <f>IF($S57="","",IF(INDEX('Master Tracker'!$F$6:$F$400,$S57)="","",INDEX('Master Tracker'!$F$6:$F$400,$S57)))</f>
        <v>P0</v>
      </c>
      <c r="F57" t="str">
        <f>IF($S57="","",IF(INDEX('Master Tracker'!$G$6:$G$400,$S57)="","",INDEX('Master Tracker'!$G$6:$G$400,$S57)))</f>
        <v>Not Started</v>
      </c>
      <c r="G57">
        <f>IF($S57="","",IF(INDEX('Master Tracker'!$H$6:$H$400,$S57)="","",INDEX('Master Tracker'!$H$6:$H$400,$S57)))</f>
        <v>46327</v>
      </c>
      <c r="H57">
        <f>IF($S57="","",IF(INDEX('Master Tracker'!$I$6:$I$400,$S57)="","",INDEX('Master Tracker'!$I$6:$I$400,$S57)))</f>
        <v>46327</v>
      </c>
      <c r="I57">
        <f>IF($S57="","",IF(INDEX('Master Tracker'!$U$6:$U$400,$S57)="","",INDEX('Master Tracker'!$U$6:$U$400,$S57)))</f>
        <v>0</v>
      </c>
      <c r="J57" t="str">
        <f>IF($S57="","",IF(INDEX('Master Tracker'!$K$6:$K$400,$S57)="","",INDEX('Master Tracker'!$K$6:$K$400,$S57)))</f>
        <v>P6-18, P6-19, P6-20</v>
      </c>
      <c r="K57" t="str">
        <f>IF($S57="","",IF(INDEX('Master Tracker'!$Y$6:$Y$400,$S57)="","",INDEX('Master Tracker'!$Y$6:$Y$400,$S57)))</f>
        <v>⏳ 3 open</v>
      </c>
      <c r="L57" t="str">
        <f>IF($S57="","",IF(INDEX('Master Tracker'!$M$6:$M$400,$S57)="","",INDEX('Master Tracker'!$M$6:$M$400,$S57)))</f>
        <v>theme package, settings exports</v>
      </c>
      <c r="M57" t="str">
        <f>IF($S57="","",IF(INDEX('Master Tracker'!$O$6:$O$400,$S57)="","",INDEX('Master Tracker'!$O$6:$O$400,$S57)))</f>
        <v>New site live on production with no data loss</v>
      </c>
      <c r="N57" t="str">
        <f>IF($S57="","",IF(INDEX('Master Tracker'!$N$6:$N$400,$S57)="","",INDEX('Master Tracker'!$N$6:$N$400,$S57)))</f>
        <v>Follow Deployment sheet stages 5–7</v>
      </c>
      <c r="O57" t="str">
        <f>IF($S57="","",IF(INDEX('Master Tracker'!$T$6:$T$400,$S57)="","",INDEX('Master Tracker'!$T$6:$T$400,$S57)))</f>
        <v>Not Tested</v>
      </c>
      <c r="P57" t="str">
        <f>IF($S57="","",IF(INDEX('Master Tracker'!$AC$6:$AC$400,$S57)="","",INDEX('Master Tracker'!$AC$6:$AC$400,$S57)))</f>
        <v>External req.</v>
      </c>
      <c r="S57">
        <f>IFERROR(MATCH("Phase 6|"&amp;A57,'Master Tracker'!$Z$6:$Z$400,0),"")</f>
        <v>110</v>
      </c>
    </row>
    <row r="58">
      <c r="A58">
        <v>22</v>
      </c>
      <c r="B58" t="str">
        <f>IF($S58="","",IF(INDEX('Master Tracker'!$A$6:$A$400,$S58)="","",INDEX('Master Tracker'!$A$6:$A$400,$S58)))</f>
        <v>P6-22</v>
      </c>
      <c r="C58" t="str">
        <f>IF($S58="","",IF(INDEX('Master Tracker'!$C$6:$C$400,$S58)="","",INDEX('Master Tracker'!$C$6:$C$400,$S58)))</f>
        <v>Post-launch</v>
      </c>
      <c r="D58" t="str">
        <f>IF($S58="","",IF(INDEX('Master Tracker'!$D$6:$D$400,$S58)="","",INDEX('Master Tracker'!$D$6:$D$400,$S58)))</f>
        <v>Post-launch verification &amp; monitoring</v>
      </c>
      <c r="E58" t="str">
        <f>IF($S58="","",IF(INDEX('Master Tracker'!$F$6:$F$400,$S58)="","",INDEX('Master Tracker'!$F$6:$F$400,$S58)))</f>
        <v>P0</v>
      </c>
      <c r="F58" t="str">
        <f>IF($S58="","",IF(INDEX('Master Tracker'!$G$6:$G$400,$S58)="","",INDEX('Master Tracker'!$G$6:$G$400,$S58)))</f>
        <v>Not Started</v>
      </c>
      <c r="G58">
        <f>IF($S58="","",IF(INDEX('Master Tracker'!$H$6:$H$400,$S58)="","",INDEX('Master Tracker'!$H$6:$H$400,$S58)))</f>
        <v>46327</v>
      </c>
      <c r="H58">
        <f>IF($S58="","",IF(INDEX('Master Tracker'!$I$6:$I$400,$S58)="","",INDEX('Master Tracker'!$I$6:$I$400,$S58)))</f>
        <v>46327</v>
      </c>
      <c r="I58">
        <f>IF($S58="","",IF(INDEX('Master Tracker'!$U$6:$U$400,$S58)="","",INDEX('Master Tracker'!$U$6:$U$400,$S58)))</f>
        <v>0</v>
      </c>
      <c r="J58" t="str">
        <f>IF($S58="","",IF(INDEX('Master Tracker'!$K$6:$K$400,$S58)="","",INDEX('Master Tracker'!$K$6:$K$400,$S58)))</f>
        <v>P6-21</v>
      </c>
      <c r="K58" t="str">
        <f>IF($S58="","",IF(INDEX('Master Tracker'!$Y$6:$Y$400,$S58)="","",INDEX('Master Tracker'!$Y$6:$Y$400,$S58)))</f>
        <v>⏳ 1 open</v>
      </c>
      <c r="L58" t="str">
        <f>IF($S58="","",IF(INDEX('Master Tracker'!$M$6:$M$400,$S58)="","",INDEX('Master Tracker'!$M$6:$M$400,$S58)))</f>
        <v>debug.log, Search Console</v>
      </c>
      <c r="M58" t="str">
        <f>IF($S58="","",IF(INDEX('Master Tracker'!$O$6:$O$400,$S58)="","",INDEX('Master Tracker'!$O$6:$O$400,$S58)))</f>
        <v>No critical issues in first 48 h</v>
      </c>
      <c r="N58" t="str">
        <f>IF($S58="","",IF(INDEX('Master Tracker'!$N$6:$N$400,$S58)="","",INDEX('Master Tracker'!$N$6:$N$400,$S58)))</f>
        <v>Deployment sheet stage 8–9</v>
      </c>
      <c r="O58" t="str">
        <f>IF($S58="","",IF(INDEX('Master Tracker'!$T$6:$T$400,$S58)="","",INDEX('Master Tracker'!$T$6:$T$400,$S58)))</f>
        <v>Not Tested</v>
      </c>
      <c r="P58" t="str">
        <f>IF($S58="","",IF(INDEX('Master Tracker'!$AC$6:$AC$400,$S58)="","",INDEX('Master Tracker'!$AC$6:$AC$400,$S58)))</f>
        <v>On track</v>
      </c>
      <c r="S58">
        <f>IFERROR(MATCH("Phase 6|"&amp;A58,'Master Tracker'!$Z$6:$Z$400,0),"")</f>
        <v>111</v>
      </c>
    </row>
    <row r="59">
      <c r="A59">
        <v>23</v>
      </c>
      <c r="B59" t="str">
        <f>IF($S59="","",IF(INDEX('Master Tracker'!$A$6:$A$400,$S59)="","",INDEX('Master Tracker'!$A$6:$A$400,$S59)))</f>
        <v/>
      </c>
      <c r="C59" t="str">
        <f>IF($S59="","",IF(INDEX('Master Tracker'!$C$6:$C$400,$S59)="","",INDEX('Master Tracker'!$C$6:$C$400,$S59)))</f>
        <v/>
      </c>
      <c r="D59" t="str">
        <f>IF($S59="","",IF(INDEX('Master Tracker'!$D$6:$D$400,$S59)="","",INDEX('Master Tracker'!$D$6:$D$400,$S59)))</f>
        <v/>
      </c>
      <c r="E59" t="str">
        <f>IF($S59="","",IF(INDEX('Master Tracker'!$F$6:$F$400,$S59)="","",INDEX('Master Tracker'!$F$6:$F$400,$S59)))</f>
        <v/>
      </c>
      <c r="F59" t="str">
        <f>IF($S59="","",IF(INDEX('Master Tracker'!$G$6:$G$400,$S59)="","",INDEX('Master Tracker'!$G$6:$G$400,$S59)))</f>
        <v/>
      </c>
      <c r="G59" t="str">
        <f>IF($S59="","",IF(INDEX('Master Tracker'!$H$6:$H$400,$S59)="","",INDEX('Master Tracker'!$H$6:$H$400,$S59)))</f>
        <v/>
      </c>
      <c r="H59" t="str">
        <f>IF($S59="","",IF(INDEX('Master Tracker'!$I$6:$I$400,$S59)="","",INDEX('Master Tracker'!$I$6:$I$400,$S59)))</f>
        <v/>
      </c>
      <c r="I59" t="str">
        <f>IF($S59="","",IF(INDEX('Master Tracker'!$U$6:$U$400,$S59)="","",INDEX('Master Tracker'!$U$6:$U$400,$S59)))</f>
        <v/>
      </c>
      <c r="J59" t="str">
        <f>IF($S59="","",IF(INDEX('Master Tracker'!$K$6:$K$400,$S59)="","",INDEX('Master Tracker'!$K$6:$K$400,$S59)))</f>
        <v/>
      </c>
      <c r="K59" t="str">
        <f>IF($S59="","",IF(INDEX('Master Tracker'!$Y$6:$Y$400,$S59)="","",INDEX('Master Tracker'!$Y$6:$Y$400,$S59)))</f>
        <v/>
      </c>
      <c r="L59" t="str">
        <f>IF($S59="","",IF(INDEX('Master Tracker'!$M$6:$M$400,$S59)="","",INDEX('Master Tracker'!$M$6:$M$400,$S59)))</f>
        <v/>
      </c>
      <c r="M59" t="str">
        <f>IF($S59="","",IF(INDEX('Master Tracker'!$O$6:$O$400,$S59)="","",INDEX('Master Tracker'!$O$6:$O$400,$S59)))</f>
        <v/>
      </c>
      <c r="N59" t="str">
        <f>IF($S59="","",IF(INDEX('Master Tracker'!$N$6:$N$400,$S59)="","",INDEX('Master Tracker'!$N$6:$N$400,$S59)))</f>
        <v/>
      </c>
      <c r="O59" t="str">
        <f>IF($S59="","",IF(INDEX('Master Tracker'!$T$6:$T$400,$S59)="","",INDEX('Master Tracker'!$T$6:$T$400,$S59)))</f>
        <v/>
      </c>
      <c r="P59" t="str">
        <f>IF($S59="","",IF(INDEX('Master Tracker'!$AC$6:$AC$400,$S59)="","",INDEX('Master Tracker'!$AC$6:$AC$400,$S59)))</f>
        <v/>
      </c>
      <c r="S59" t="str">
        <f>IFERROR(MATCH("Phase 6|"&amp;A59,'Master Tracker'!$Z$6:$Z$400,0),"")</f>
        <v/>
      </c>
    </row>
    <row r="60">
      <c r="A60">
        <v>24</v>
      </c>
      <c r="B60" t="str">
        <f>IF($S60="","",IF(INDEX('Master Tracker'!$A$6:$A$400,$S60)="","",INDEX('Master Tracker'!$A$6:$A$400,$S60)))</f>
        <v/>
      </c>
      <c r="C60" t="str">
        <f>IF($S60="","",IF(INDEX('Master Tracker'!$C$6:$C$400,$S60)="","",INDEX('Master Tracker'!$C$6:$C$400,$S60)))</f>
        <v/>
      </c>
      <c r="D60" t="str">
        <f>IF($S60="","",IF(INDEX('Master Tracker'!$D$6:$D$400,$S60)="","",INDEX('Master Tracker'!$D$6:$D$400,$S60)))</f>
        <v/>
      </c>
      <c r="E60" t="str">
        <f>IF($S60="","",IF(INDEX('Master Tracker'!$F$6:$F$400,$S60)="","",INDEX('Master Tracker'!$F$6:$F$400,$S60)))</f>
        <v/>
      </c>
      <c r="F60" t="str">
        <f>IF($S60="","",IF(INDEX('Master Tracker'!$G$6:$G$400,$S60)="","",INDEX('Master Tracker'!$G$6:$G$400,$S60)))</f>
        <v/>
      </c>
      <c r="G60" t="str">
        <f>IF($S60="","",IF(INDEX('Master Tracker'!$H$6:$H$400,$S60)="","",INDEX('Master Tracker'!$H$6:$H$400,$S60)))</f>
        <v/>
      </c>
      <c r="H60" t="str">
        <f>IF($S60="","",IF(INDEX('Master Tracker'!$I$6:$I$400,$S60)="","",INDEX('Master Tracker'!$I$6:$I$400,$S60)))</f>
        <v/>
      </c>
      <c r="I60" t="str">
        <f>IF($S60="","",IF(INDEX('Master Tracker'!$U$6:$U$400,$S60)="","",INDEX('Master Tracker'!$U$6:$U$400,$S60)))</f>
        <v/>
      </c>
      <c r="J60" t="str">
        <f>IF($S60="","",IF(INDEX('Master Tracker'!$K$6:$K$400,$S60)="","",INDEX('Master Tracker'!$K$6:$K$400,$S60)))</f>
        <v/>
      </c>
      <c r="K60" t="str">
        <f>IF($S60="","",IF(INDEX('Master Tracker'!$Y$6:$Y$400,$S60)="","",INDEX('Master Tracker'!$Y$6:$Y$400,$S60)))</f>
        <v/>
      </c>
      <c r="L60" t="str">
        <f>IF($S60="","",IF(INDEX('Master Tracker'!$M$6:$M$400,$S60)="","",INDEX('Master Tracker'!$M$6:$M$400,$S60)))</f>
        <v/>
      </c>
      <c r="M60" t="str">
        <f>IF($S60="","",IF(INDEX('Master Tracker'!$O$6:$O$400,$S60)="","",INDEX('Master Tracker'!$O$6:$O$400,$S60)))</f>
        <v/>
      </c>
      <c r="N60" t="str">
        <f>IF($S60="","",IF(INDEX('Master Tracker'!$N$6:$N$400,$S60)="","",INDEX('Master Tracker'!$N$6:$N$400,$S60)))</f>
        <v/>
      </c>
      <c r="O60" t="str">
        <f>IF($S60="","",IF(INDEX('Master Tracker'!$T$6:$T$400,$S60)="","",INDEX('Master Tracker'!$T$6:$T$400,$S60)))</f>
        <v/>
      </c>
      <c r="P60" t="str">
        <f>IF($S60="","",IF(INDEX('Master Tracker'!$AC$6:$AC$400,$S60)="","",INDEX('Master Tracker'!$AC$6:$AC$400,$S60)))</f>
        <v/>
      </c>
      <c r="S60" t="str">
        <f>IFERROR(MATCH("Phase 6|"&amp;A60,'Master Tracker'!$Z$6:$Z$400,0),"")</f>
        <v/>
      </c>
    </row>
    <row r="61">
      <c r="A61">
        <v>25</v>
      </c>
      <c r="B61" t="str">
        <f>IF($S61="","",IF(INDEX('Master Tracker'!$A$6:$A$400,$S61)="","",INDEX('Master Tracker'!$A$6:$A$400,$S61)))</f>
        <v/>
      </c>
      <c r="C61" t="str">
        <f>IF($S61="","",IF(INDEX('Master Tracker'!$C$6:$C$400,$S61)="","",INDEX('Master Tracker'!$C$6:$C$400,$S61)))</f>
        <v/>
      </c>
      <c r="D61" t="str">
        <f>IF($S61="","",IF(INDEX('Master Tracker'!$D$6:$D$400,$S61)="","",INDEX('Master Tracker'!$D$6:$D$400,$S61)))</f>
        <v/>
      </c>
      <c r="E61" t="str">
        <f>IF($S61="","",IF(INDEX('Master Tracker'!$F$6:$F$400,$S61)="","",INDEX('Master Tracker'!$F$6:$F$400,$S61)))</f>
        <v/>
      </c>
      <c r="F61" t="str">
        <f>IF($S61="","",IF(INDEX('Master Tracker'!$G$6:$G$400,$S61)="","",INDEX('Master Tracker'!$G$6:$G$400,$S61)))</f>
        <v/>
      </c>
      <c r="G61" t="str">
        <f>IF($S61="","",IF(INDEX('Master Tracker'!$H$6:$H$400,$S61)="","",INDEX('Master Tracker'!$H$6:$H$400,$S61)))</f>
        <v/>
      </c>
      <c r="H61" t="str">
        <f>IF($S61="","",IF(INDEX('Master Tracker'!$I$6:$I$400,$S61)="","",INDEX('Master Tracker'!$I$6:$I$400,$S61)))</f>
        <v/>
      </c>
      <c r="I61" t="str">
        <f>IF($S61="","",IF(INDEX('Master Tracker'!$U$6:$U$400,$S61)="","",INDEX('Master Tracker'!$U$6:$U$400,$S61)))</f>
        <v/>
      </c>
      <c r="J61" t="str">
        <f>IF($S61="","",IF(INDEX('Master Tracker'!$K$6:$K$400,$S61)="","",INDEX('Master Tracker'!$K$6:$K$400,$S61)))</f>
        <v/>
      </c>
      <c r="K61" t="str">
        <f>IF($S61="","",IF(INDEX('Master Tracker'!$Y$6:$Y$400,$S61)="","",INDEX('Master Tracker'!$Y$6:$Y$400,$S61)))</f>
        <v/>
      </c>
      <c r="L61" t="str">
        <f>IF($S61="","",IF(INDEX('Master Tracker'!$M$6:$M$400,$S61)="","",INDEX('Master Tracker'!$M$6:$M$400,$S61)))</f>
        <v/>
      </c>
      <c r="M61" t="str">
        <f>IF($S61="","",IF(INDEX('Master Tracker'!$O$6:$O$400,$S61)="","",INDEX('Master Tracker'!$O$6:$O$400,$S61)))</f>
        <v/>
      </c>
      <c r="N61" t="str">
        <f>IF($S61="","",IF(INDEX('Master Tracker'!$N$6:$N$400,$S61)="","",INDEX('Master Tracker'!$N$6:$N$400,$S61)))</f>
        <v/>
      </c>
      <c r="O61" t="str">
        <f>IF($S61="","",IF(INDEX('Master Tracker'!$T$6:$T$400,$S61)="","",INDEX('Master Tracker'!$T$6:$T$400,$S61)))</f>
        <v/>
      </c>
      <c r="P61" t="str">
        <f>IF($S61="","",IF(INDEX('Master Tracker'!$AC$6:$AC$400,$S61)="","",INDEX('Master Tracker'!$AC$6:$AC$400,$S61)))</f>
        <v/>
      </c>
      <c r="S61" t="str">
        <f>IFERROR(MATCH("Phase 6|"&amp;A61,'Master Tracker'!$Z$6:$Z$400,0),"")</f>
        <v/>
      </c>
    </row>
    <row r="62">
      <c r="A62">
        <v>26</v>
      </c>
      <c r="B62" t="str">
        <f>IF($S62="","",IF(INDEX('Master Tracker'!$A$6:$A$400,$S62)="","",INDEX('Master Tracker'!$A$6:$A$400,$S62)))</f>
        <v/>
      </c>
      <c r="C62" t="str">
        <f>IF($S62="","",IF(INDEX('Master Tracker'!$C$6:$C$400,$S62)="","",INDEX('Master Tracker'!$C$6:$C$400,$S62)))</f>
        <v/>
      </c>
      <c r="D62" t="str">
        <f>IF($S62="","",IF(INDEX('Master Tracker'!$D$6:$D$400,$S62)="","",INDEX('Master Tracker'!$D$6:$D$400,$S62)))</f>
        <v/>
      </c>
      <c r="E62" t="str">
        <f>IF($S62="","",IF(INDEX('Master Tracker'!$F$6:$F$400,$S62)="","",INDEX('Master Tracker'!$F$6:$F$400,$S62)))</f>
        <v/>
      </c>
      <c r="F62" t="str">
        <f>IF($S62="","",IF(INDEX('Master Tracker'!$G$6:$G$400,$S62)="","",INDEX('Master Tracker'!$G$6:$G$400,$S62)))</f>
        <v/>
      </c>
      <c r="G62" t="str">
        <f>IF($S62="","",IF(INDEX('Master Tracker'!$H$6:$H$400,$S62)="","",INDEX('Master Tracker'!$H$6:$H$400,$S62)))</f>
        <v/>
      </c>
      <c r="H62" t="str">
        <f>IF($S62="","",IF(INDEX('Master Tracker'!$I$6:$I$400,$S62)="","",INDEX('Master Tracker'!$I$6:$I$400,$S62)))</f>
        <v/>
      </c>
      <c r="I62" t="str">
        <f>IF($S62="","",IF(INDEX('Master Tracker'!$U$6:$U$400,$S62)="","",INDEX('Master Tracker'!$U$6:$U$400,$S62)))</f>
        <v/>
      </c>
      <c r="J62" t="str">
        <f>IF($S62="","",IF(INDEX('Master Tracker'!$K$6:$K$400,$S62)="","",INDEX('Master Tracker'!$K$6:$K$400,$S62)))</f>
        <v/>
      </c>
      <c r="K62" t="str">
        <f>IF($S62="","",IF(INDEX('Master Tracker'!$Y$6:$Y$400,$S62)="","",INDEX('Master Tracker'!$Y$6:$Y$400,$S62)))</f>
        <v/>
      </c>
      <c r="L62" t="str">
        <f>IF($S62="","",IF(INDEX('Master Tracker'!$M$6:$M$400,$S62)="","",INDEX('Master Tracker'!$M$6:$M$400,$S62)))</f>
        <v/>
      </c>
      <c r="M62" t="str">
        <f>IF($S62="","",IF(INDEX('Master Tracker'!$O$6:$O$400,$S62)="","",INDEX('Master Tracker'!$O$6:$O$400,$S62)))</f>
        <v/>
      </c>
      <c r="N62" t="str">
        <f>IF($S62="","",IF(INDEX('Master Tracker'!$N$6:$N$400,$S62)="","",INDEX('Master Tracker'!$N$6:$N$400,$S62)))</f>
        <v/>
      </c>
      <c r="O62" t="str">
        <f>IF($S62="","",IF(INDEX('Master Tracker'!$T$6:$T$400,$S62)="","",INDEX('Master Tracker'!$T$6:$T$400,$S62)))</f>
        <v/>
      </c>
      <c r="P62" t="str">
        <f>IF($S62="","",IF(INDEX('Master Tracker'!$AC$6:$AC$400,$S62)="","",INDEX('Master Tracker'!$AC$6:$AC$400,$S62)))</f>
        <v/>
      </c>
      <c r="S62" t="str">
        <f>IFERROR(MATCH("Phase 6|"&amp;A62,'Master Tracker'!$Z$6:$Z$400,0),"")</f>
        <v/>
      </c>
    </row>
    <row r="63">
      <c r="A63">
        <v>27</v>
      </c>
      <c r="B63" t="str">
        <f>IF($S63="","",IF(INDEX('Master Tracker'!$A$6:$A$400,$S63)="","",INDEX('Master Tracker'!$A$6:$A$400,$S63)))</f>
        <v/>
      </c>
      <c r="C63" t="str">
        <f>IF($S63="","",IF(INDEX('Master Tracker'!$C$6:$C$400,$S63)="","",INDEX('Master Tracker'!$C$6:$C$400,$S63)))</f>
        <v/>
      </c>
      <c r="D63" t="str">
        <f>IF($S63="","",IF(INDEX('Master Tracker'!$D$6:$D$400,$S63)="","",INDEX('Master Tracker'!$D$6:$D$400,$S63)))</f>
        <v/>
      </c>
      <c r="E63" t="str">
        <f>IF($S63="","",IF(INDEX('Master Tracker'!$F$6:$F$400,$S63)="","",INDEX('Master Tracker'!$F$6:$F$400,$S63)))</f>
        <v/>
      </c>
      <c r="F63" t="str">
        <f>IF($S63="","",IF(INDEX('Master Tracker'!$G$6:$G$400,$S63)="","",INDEX('Master Tracker'!$G$6:$G$400,$S63)))</f>
        <v/>
      </c>
      <c r="G63" t="str">
        <f>IF($S63="","",IF(INDEX('Master Tracker'!$H$6:$H$400,$S63)="","",INDEX('Master Tracker'!$H$6:$H$400,$S63)))</f>
        <v/>
      </c>
      <c r="H63" t="str">
        <f>IF($S63="","",IF(INDEX('Master Tracker'!$I$6:$I$400,$S63)="","",INDEX('Master Tracker'!$I$6:$I$400,$S63)))</f>
        <v/>
      </c>
      <c r="I63" t="str">
        <f>IF($S63="","",IF(INDEX('Master Tracker'!$U$6:$U$400,$S63)="","",INDEX('Master Tracker'!$U$6:$U$400,$S63)))</f>
        <v/>
      </c>
      <c r="J63" t="str">
        <f>IF($S63="","",IF(INDEX('Master Tracker'!$K$6:$K$400,$S63)="","",INDEX('Master Tracker'!$K$6:$K$400,$S63)))</f>
        <v/>
      </c>
      <c r="K63" t="str">
        <f>IF($S63="","",IF(INDEX('Master Tracker'!$Y$6:$Y$400,$S63)="","",INDEX('Master Tracker'!$Y$6:$Y$400,$S63)))</f>
        <v/>
      </c>
      <c r="L63" t="str">
        <f>IF($S63="","",IF(INDEX('Master Tracker'!$M$6:$M$400,$S63)="","",INDEX('Master Tracker'!$M$6:$M$400,$S63)))</f>
        <v/>
      </c>
      <c r="M63" t="str">
        <f>IF($S63="","",IF(INDEX('Master Tracker'!$O$6:$O$400,$S63)="","",INDEX('Master Tracker'!$O$6:$O$400,$S63)))</f>
        <v/>
      </c>
      <c r="N63" t="str">
        <f>IF($S63="","",IF(INDEX('Master Tracker'!$N$6:$N$400,$S63)="","",INDEX('Master Tracker'!$N$6:$N$400,$S63)))</f>
        <v/>
      </c>
      <c r="O63" t="str">
        <f>IF($S63="","",IF(INDEX('Master Tracker'!$T$6:$T$400,$S63)="","",INDEX('Master Tracker'!$T$6:$T$400,$S63)))</f>
        <v/>
      </c>
      <c r="P63" t="str">
        <f>IF($S63="","",IF(INDEX('Master Tracker'!$AC$6:$AC$400,$S63)="","",INDEX('Master Tracker'!$AC$6:$AC$400,$S63)))</f>
        <v/>
      </c>
      <c r="S63" t="str">
        <f>IFERROR(MATCH("Phase 6|"&amp;A63,'Master Tracker'!$Z$6:$Z$400,0),"")</f>
        <v/>
      </c>
    </row>
    <row r="64">
      <c r="A64">
        <v>28</v>
      </c>
      <c r="B64" t="str">
        <f>IF($S64="","",IF(INDEX('Master Tracker'!$A$6:$A$400,$S64)="","",INDEX('Master Tracker'!$A$6:$A$400,$S64)))</f>
        <v/>
      </c>
      <c r="C64" t="str">
        <f>IF($S64="","",IF(INDEX('Master Tracker'!$C$6:$C$400,$S64)="","",INDEX('Master Tracker'!$C$6:$C$400,$S64)))</f>
        <v/>
      </c>
      <c r="D64" t="str">
        <f>IF($S64="","",IF(INDEX('Master Tracker'!$D$6:$D$400,$S64)="","",INDEX('Master Tracker'!$D$6:$D$400,$S64)))</f>
        <v/>
      </c>
      <c r="E64" t="str">
        <f>IF($S64="","",IF(INDEX('Master Tracker'!$F$6:$F$400,$S64)="","",INDEX('Master Tracker'!$F$6:$F$400,$S64)))</f>
        <v/>
      </c>
      <c r="F64" t="str">
        <f>IF($S64="","",IF(INDEX('Master Tracker'!$G$6:$G$400,$S64)="","",INDEX('Master Tracker'!$G$6:$G$400,$S64)))</f>
        <v/>
      </c>
      <c r="G64" t="str">
        <f>IF($S64="","",IF(INDEX('Master Tracker'!$H$6:$H$400,$S64)="","",INDEX('Master Tracker'!$H$6:$H$400,$S64)))</f>
        <v/>
      </c>
      <c r="H64" t="str">
        <f>IF($S64="","",IF(INDEX('Master Tracker'!$I$6:$I$400,$S64)="","",INDEX('Master Tracker'!$I$6:$I$400,$S64)))</f>
        <v/>
      </c>
      <c r="I64" t="str">
        <f>IF($S64="","",IF(INDEX('Master Tracker'!$U$6:$U$400,$S64)="","",INDEX('Master Tracker'!$U$6:$U$400,$S64)))</f>
        <v/>
      </c>
      <c r="J64" t="str">
        <f>IF($S64="","",IF(INDEX('Master Tracker'!$K$6:$K$400,$S64)="","",INDEX('Master Tracker'!$K$6:$K$400,$S64)))</f>
        <v/>
      </c>
      <c r="K64" t="str">
        <f>IF($S64="","",IF(INDEX('Master Tracker'!$Y$6:$Y$400,$S64)="","",INDEX('Master Tracker'!$Y$6:$Y$400,$S64)))</f>
        <v/>
      </c>
      <c r="L64" t="str">
        <f>IF($S64="","",IF(INDEX('Master Tracker'!$M$6:$M$400,$S64)="","",INDEX('Master Tracker'!$M$6:$M$400,$S64)))</f>
        <v/>
      </c>
      <c r="M64" t="str">
        <f>IF($S64="","",IF(INDEX('Master Tracker'!$O$6:$O$400,$S64)="","",INDEX('Master Tracker'!$O$6:$O$400,$S64)))</f>
        <v/>
      </c>
      <c r="N64" t="str">
        <f>IF($S64="","",IF(INDEX('Master Tracker'!$N$6:$N$400,$S64)="","",INDEX('Master Tracker'!$N$6:$N$400,$S64)))</f>
        <v/>
      </c>
      <c r="O64" t="str">
        <f>IF($S64="","",IF(INDEX('Master Tracker'!$T$6:$T$400,$S64)="","",INDEX('Master Tracker'!$T$6:$T$400,$S64)))</f>
        <v/>
      </c>
      <c r="P64" t="str">
        <f>IF($S64="","",IF(INDEX('Master Tracker'!$AC$6:$AC$400,$S64)="","",INDEX('Master Tracker'!$AC$6:$AC$400,$S64)))</f>
        <v/>
      </c>
      <c r="S64" t="str">
        <f>IFERROR(MATCH("Phase 6|"&amp;A64,'Master Tracker'!$Z$6:$Z$400,0),"")</f>
        <v/>
      </c>
    </row>
    <row r="65">
      <c r="A65">
        <v>29</v>
      </c>
      <c r="B65" t="str">
        <f>IF($S65="","",IF(INDEX('Master Tracker'!$A$6:$A$400,$S65)="","",INDEX('Master Tracker'!$A$6:$A$400,$S65)))</f>
        <v/>
      </c>
      <c r="C65" t="str">
        <f>IF($S65="","",IF(INDEX('Master Tracker'!$C$6:$C$400,$S65)="","",INDEX('Master Tracker'!$C$6:$C$400,$S65)))</f>
        <v/>
      </c>
      <c r="D65" t="str">
        <f>IF($S65="","",IF(INDEX('Master Tracker'!$D$6:$D$400,$S65)="","",INDEX('Master Tracker'!$D$6:$D$400,$S65)))</f>
        <v/>
      </c>
      <c r="E65" t="str">
        <f>IF($S65="","",IF(INDEX('Master Tracker'!$F$6:$F$400,$S65)="","",INDEX('Master Tracker'!$F$6:$F$400,$S65)))</f>
        <v/>
      </c>
      <c r="F65" t="str">
        <f>IF($S65="","",IF(INDEX('Master Tracker'!$G$6:$G$400,$S65)="","",INDEX('Master Tracker'!$G$6:$G$400,$S65)))</f>
        <v/>
      </c>
      <c r="G65" t="str">
        <f>IF($S65="","",IF(INDEX('Master Tracker'!$H$6:$H$400,$S65)="","",INDEX('Master Tracker'!$H$6:$H$400,$S65)))</f>
        <v/>
      </c>
      <c r="H65" t="str">
        <f>IF($S65="","",IF(INDEX('Master Tracker'!$I$6:$I$400,$S65)="","",INDEX('Master Tracker'!$I$6:$I$400,$S65)))</f>
        <v/>
      </c>
      <c r="I65" t="str">
        <f>IF($S65="","",IF(INDEX('Master Tracker'!$U$6:$U$400,$S65)="","",INDEX('Master Tracker'!$U$6:$U$400,$S65)))</f>
        <v/>
      </c>
      <c r="J65" t="str">
        <f>IF($S65="","",IF(INDEX('Master Tracker'!$K$6:$K$400,$S65)="","",INDEX('Master Tracker'!$K$6:$K$400,$S65)))</f>
        <v/>
      </c>
      <c r="K65" t="str">
        <f>IF($S65="","",IF(INDEX('Master Tracker'!$Y$6:$Y$400,$S65)="","",INDEX('Master Tracker'!$Y$6:$Y$400,$S65)))</f>
        <v/>
      </c>
      <c r="L65" t="str">
        <f>IF($S65="","",IF(INDEX('Master Tracker'!$M$6:$M$400,$S65)="","",INDEX('Master Tracker'!$M$6:$M$400,$S65)))</f>
        <v/>
      </c>
      <c r="M65" t="str">
        <f>IF($S65="","",IF(INDEX('Master Tracker'!$O$6:$O$400,$S65)="","",INDEX('Master Tracker'!$O$6:$O$400,$S65)))</f>
        <v/>
      </c>
      <c r="N65" t="str">
        <f>IF($S65="","",IF(INDEX('Master Tracker'!$N$6:$N$400,$S65)="","",INDEX('Master Tracker'!$N$6:$N$400,$S65)))</f>
        <v/>
      </c>
      <c r="O65" t="str">
        <f>IF($S65="","",IF(INDEX('Master Tracker'!$T$6:$T$400,$S65)="","",INDEX('Master Tracker'!$T$6:$T$400,$S65)))</f>
        <v/>
      </c>
      <c r="P65" t="str">
        <f>IF($S65="","",IF(INDEX('Master Tracker'!$AC$6:$AC$400,$S65)="","",INDEX('Master Tracker'!$AC$6:$AC$400,$S65)))</f>
        <v/>
      </c>
      <c r="S65" t="str">
        <f>IFERROR(MATCH("Phase 6|"&amp;A65,'Master Tracker'!$Z$6:$Z$400,0),"")</f>
        <v/>
      </c>
    </row>
    <row r="66">
      <c r="A66">
        <v>30</v>
      </c>
      <c r="B66" t="str">
        <f>IF($S66="","",IF(INDEX('Master Tracker'!$A$6:$A$400,$S66)="","",INDEX('Master Tracker'!$A$6:$A$400,$S66)))</f>
        <v/>
      </c>
      <c r="C66" t="str">
        <f>IF($S66="","",IF(INDEX('Master Tracker'!$C$6:$C$400,$S66)="","",INDEX('Master Tracker'!$C$6:$C$400,$S66)))</f>
        <v/>
      </c>
      <c r="D66" t="str">
        <f>IF($S66="","",IF(INDEX('Master Tracker'!$D$6:$D$400,$S66)="","",INDEX('Master Tracker'!$D$6:$D$400,$S66)))</f>
        <v/>
      </c>
      <c r="E66" t="str">
        <f>IF($S66="","",IF(INDEX('Master Tracker'!$F$6:$F$400,$S66)="","",INDEX('Master Tracker'!$F$6:$F$400,$S66)))</f>
        <v/>
      </c>
      <c r="F66" t="str">
        <f>IF($S66="","",IF(INDEX('Master Tracker'!$G$6:$G$400,$S66)="","",INDEX('Master Tracker'!$G$6:$G$400,$S66)))</f>
        <v/>
      </c>
      <c r="G66" t="str">
        <f>IF($S66="","",IF(INDEX('Master Tracker'!$H$6:$H$400,$S66)="","",INDEX('Master Tracker'!$H$6:$H$400,$S66)))</f>
        <v/>
      </c>
      <c r="H66" t="str">
        <f>IF($S66="","",IF(INDEX('Master Tracker'!$I$6:$I$400,$S66)="","",INDEX('Master Tracker'!$I$6:$I$400,$S66)))</f>
        <v/>
      </c>
      <c r="I66" t="str">
        <f>IF($S66="","",IF(INDEX('Master Tracker'!$U$6:$U$400,$S66)="","",INDEX('Master Tracker'!$U$6:$U$400,$S66)))</f>
        <v/>
      </c>
      <c r="J66" t="str">
        <f>IF($S66="","",IF(INDEX('Master Tracker'!$K$6:$K$400,$S66)="","",INDEX('Master Tracker'!$K$6:$K$400,$S66)))</f>
        <v/>
      </c>
      <c r="K66" t="str">
        <f>IF($S66="","",IF(INDEX('Master Tracker'!$Y$6:$Y$400,$S66)="","",INDEX('Master Tracker'!$Y$6:$Y$400,$S66)))</f>
        <v/>
      </c>
      <c r="L66" t="str">
        <f>IF($S66="","",IF(INDEX('Master Tracker'!$M$6:$M$400,$S66)="","",INDEX('Master Tracker'!$M$6:$M$400,$S66)))</f>
        <v/>
      </c>
      <c r="M66" t="str">
        <f>IF($S66="","",IF(INDEX('Master Tracker'!$O$6:$O$400,$S66)="","",INDEX('Master Tracker'!$O$6:$O$400,$S66)))</f>
        <v/>
      </c>
      <c r="N66" t="str">
        <f>IF($S66="","",IF(INDEX('Master Tracker'!$N$6:$N$400,$S66)="","",INDEX('Master Tracker'!$N$6:$N$400,$S66)))</f>
        <v/>
      </c>
      <c r="O66" t="str">
        <f>IF($S66="","",IF(INDEX('Master Tracker'!$T$6:$T$400,$S66)="","",INDEX('Master Tracker'!$T$6:$T$400,$S66)))</f>
        <v/>
      </c>
      <c r="P66" t="str">
        <f>IF($S66="","",IF(INDEX('Master Tracker'!$AC$6:$AC$400,$S66)="","",INDEX('Master Tracker'!$AC$6:$AC$400,$S66)))</f>
        <v/>
      </c>
      <c r="S66" t="str">
        <f>IFERROR(MATCH("Phase 6|"&amp;A66,'Master Tracker'!$Z$6:$Z$400,0),"")</f>
        <v/>
      </c>
    </row>
  </sheetData>
  <mergeCells count="48">
    <mergeCell ref="A1:R1"/>
    <mergeCell ref="J13:R13"/>
    <mergeCell ref="A19:H19"/>
    <mergeCell ref="B33:R33"/>
    <mergeCell ref="P6:R6"/>
    <mergeCell ref="A2:R2"/>
    <mergeCell ref="A16:H16"/>
    <mergeCell ref="A23:R23"/>
    <mergeCell ref="J21:R21"/>
    <mergeCell ref="A35:R35"/>
    <mergeCell ref="A12:H12"/>
    <mergeCell ref="J12:R12"/>
    <mergeCell ref="A18:H18"/>
    <mergeCell ref="E6:F6"/>
    <mergeCell ref="A21:H21"/>
    <mergeCell ref="P5:R5"/>
    <mergeCell ref="J18:R18"/>
    <mergeCell ref="B29:R29"/>
    <mergeCell ref="A10:R10"/>
    <mergeCell ref="A14:H14"/>
    <mergeCell ref="B28:R28"/>
    <mergeCell ref="A3:C3"/>
    <mergeCell ref="B25:R25"/>
    <mergeCell ref="B31:R31"/>
    <mergeCell ref="J20:R20"/>
    <mergeCell ref="J16:R16"/>
    <mergeCell ref="H6:I6"/>
    <mergeCell ref="B27:R27"/>
    <mergeCell ref="A5:C5"/>
    <mergeCell ref="J6:K6"/>
    <mergeCell ref="A9:R9"/>
    <mergeCell ref="J17:R17"/>
    <mergeCell ref="A17:H17"/>
    <mergeCell ref="J14:R14"/>
    <mergeCell ref="B30:R30"/>
    <mergeCell ref="A20:H20"/>
    <mergeCell ref="J19:R19"/>
    <mergeCell ref="B32:R32"/>
    <mergeCell ref="B26:R26"/>
    <mergeCell ref="A7:R7"/>
    <mergeCell ref="A15:H15"/>
    <mergeCell ref="J5:K5"/>
    <mergeCell ref="J15:R15"/>
    <mergeCell ref="E5:F5"/>
    <mergeCell ref="A6:C6"/>
    <mergeCell ref="B24:R24"/>
    <mergeCell ref="H5:I5"/>
    <mergeCell ref="A13:H13"/>
  </mergeCells>
  <hyperlinks>
    <hyperlink ref="A3" location="'Executive Dashboard'!A1"/>
    <hyperlink ref="D3" location="'Master Tracker'!A1"/>
    <hyperlink ref="F3" r:id="rId1"/>
  </hyperlinks>
  <pageMargins left="0.75" right="0.75" top="1" bottom="1" header="0.5" footer="0.5"/>
  <ignoredErrors>
    <ignoredError numberStoredAsText="1" sqref="A1:S66"/>
  </ignoredErrors>
</worksheet>
</file>

<file path=xl/worksheets/sheet9.xml><?xml version="1.0" encoding="utf-8"?>
<worksheet xmlns="http://schemas.openxmlformats.org/spreadsheetml/2006/main" xmlns:r="http://schemas.openxmlformats.org/officeDocument/2006/relationships">
  <dimension ref="A1:K141"/>
  <sheetViews>
    <sheetView workbookViewId="0" rightToLeft="0"/>
  </sheetViews>
  <sheetData>
    <row r="1">
      <c r="A1" t="str">
        <v xml:space="preserve">  QA &amp; TESTING CHECKLISTS</v>
      </c>
    </row>
    <row r="2">
      <c r="A2" t="str">
        <v xml:space="preserve">  Run on staging. Set Result from the dropdown; summary and pass rates update automatically.</v>
      </c>
    </row>
    <row r="3">
      <c r="A3" t="str">
        <v>← Dashboard</v>
      </c>
      <c r="C3" t="str">
        <v>Staging ↗</v>
      </c>
    </row>
    <row r="5">
      <c r="B5" t="str">
        <v>Area</v>
      </c>
      <c r="C5" t="str">
        <v>Cases</v>
      </c>
      <c r="D5" t="str">
        <v>Pass</v>
      </c>
      <c r="E5" t="str">
        <v>Fail</v>
      </c>
      <c r="F5" t="str">
        <v>Blocked</v>
      </c>
      <c r="G5" t="str">
        <v>Not Run</v>
      </c>
      <c r="H5" t="str">
        <v>Pass rate</v>
      </c>
    </row>
    <row r="6">
      <c r="B6" t="str">
        <v>Template 1: Homepage</v>
      </c>
      <c r="C6">
        <f>COUNTIF($B$32:$B$141,B6)</f>
        <v>3</v>
      </c>
      <c r="D6">
        <f>COUNTIFS($B$32:$B$141,B6,$I$32:$I$141,"Pass")</f>
        <v>0</v>
      </c>
      <c r="E6">
        <f>COUNTIFS($B$32:$B$141,B6,$I$32:$I$141,"Fail")</f>
        <v>0</v>
      </c>
      <c r="F6">
        <f>COUNTIFS($B$32:$B$141,B6,$I$32:$I$141,"Blocked")</f>
        <v>0</v>
      </c>
      <c r="G6">
        <f>COUNTIFS($B$32:$B$141,B6,$I$32:$I$141,"Not Run")</f>
        <v>3</v>
      </c>
      <c r="H6">
        <f>IFERROR(D6/(C6-COUNTIFS($B$32:$B$141,B6,$I$32:$I$141,"N/A")),0)</f>
        <v>0</v>
      </c>
    </row>
    <row r="7">
      <c r="B7" t="str">
        <v>Template 2: Single Article</v>
      </c>
      <c r="C7">
        <f>COUNTIF($B$32:$B$141,B7)</f>
        <v>3</v>
      </c>
      <c r="D7">
        <f>COUNTIFS($B$32:$B$141,B7,$I$32:$I$141,"Pass")</f>
        <v>0</v>
      </c>
      <c r="E7">
        <f>COUNTIFS($B$32:$B$141,B7,$I$32:$I$141,"Fail")</f>
        <v>0</v>
      </c>
      <c r="F7">
        <f>COUNTIFS($B$32:$B$141,B7,$I$32:$I$141,"Blocked")</f>
        <v>0</v>
      </c>
      <c r="G7">
        <f>COUNTIFS($B$32:$B$141,B7,$I$32:$I$141,"Not Run")</f>
        <v>3</v>
      </c>
      <c r="H7">
        <f>IFERROR(D7/(C7-COUNTIFS($B$32:$B$141,B7,$I$32:$I$141,"N/A")),0)</f>
        <v>0</v>
      </c>
    </row>
    <row r="8">
      <c r="B8" t="str">
        <v>Template 3: Category Archive</v>
      </c>
      <c r="C8">
        <f>COUNTIF($B$32:$B$141,B8)</f>
        <v>3</v>
      </c>
      <c r="D8">
        <f>COUNTIFS($B$32:$B$141,B8,$I$32:$I$141,"Pass")</f>
        <v>0</v>
      </c>
      <c r="E8">
        <f>COUNTIFS($B$32:$B$141,B8,$I$32:$I$141,"Fail")</f>
        <v>0</v>
      </c>
      <c r="F8">
        <f>COUNTIFS($B$32:$B$141,B8,$I$32:$I$141,"Blocked")</f>
        <v>0</v>
      </c>
      <c r="G8">
        <f>COUNTIFS($B$32:$B$141,B8,$I$32:$I$141,"Not Run")</f>
        <v>3</v>
      </c>
      <c r="H8">
        <f>IFERROR(D8/(C8-COUNTIFS($B$32:$B$141,B8,$I$32:$I$141,"N/A")),0)</f>
        <v>0</v>
      </c>
    </row>
    <row r="9">
      <c r="B9" t="str">
        <v>Template 4: Author Profile</v>
      </c>
      <c r="C9">
        <f>COUNTIF($B$32:$B$141,B9)</f>
        <v>3</v>
      </c>
      <c r="D9">
        <f>COUNTIFS($B$32:$B$141,B9,$I$32:$I$141,"Pass")</f>
        <v>0</v>
      </c>
      <c r="E9">
        <f>COUNTIFS($B$32:$B$141,B9,$I$32:$I$141,"Fail")</f>
        <v>0</v>
      </c>
      <c r="F9">
        <f>COUNTIFS($B$32:$B$141,B9,$I$32:$I$141,"Blocked")</f>
        <v>0</v>
      </c>
      <c r="G9">
        <f>COUNTIFS($B$32:$B$141,B9,$I$32:$I$141,"Not Run")</f>
        <v>3</v>
      </c>
      <c r="H9">
        <f>IFERROR(D9/(C9-COUNTIFS($B$32:$B$141,B9,$I$32:$I$141,"N/A")),0)</f>
        <v>0</v>
      </c>
    </row>
    <row r="10">
      <c r="B10" t="str">
        <v>Template 5: Issues Archive</v>
      </c>
      <c r="C10">
        <f>COUNTIF($B$32:$B$141,B10)</f>
        <v>3</v>
      </c>
      <c r="D10">
        <f>COUNTIFS($B$32:$B$141,B10,$I$32:$I$141,"Pass")</f>
        <v>0</v>
      </c>
      <c r="E10">
        <f>COUNTIFS($B$32:$B$141,B10,$I$32:$I$141,"Fail")</f>
        <v>0</v>
      </c>
      <c r="F10">
        <f>COUNTIFS($B$32:$B$141,B10,$I$32:$I$141,"Blocked")</f>
        <v>0</v>
      </c>
      <c r="G10">
        <f>COUNTIFS($B$32:$B$141,B10,$I$32:$I$141,"Not Run")</f>
        <v>3</v>
      </c>
      <c r="H10">
        <f>IFERROR(D10/(C10-COUNTIFS($B$32:$B$141,B10,$I$32:$I$141,"N/A")),0)</f>
        <v>0</v>
      </c>
    </row>
    <row r="11">
      <c r="B11" t="str">
        <v>Template 6: Single Issue</v>
      </c>
      <c r="C11">
        <f>COUNTIF($B$32:$B$141,B11)</f>
        <v>3</v>
      </c>
      <c r="D11">
        <f>COUNTIFS($B$32:$B$141,B11,$I$32:$I$141,"Pass")</f>
        <v>0</v>
      </c>
      <c r="E11">
        <f>COUNTIFS($B$32:$B$141,B11,$I$32:$I$141,"Fail")</f>
        <v>0</v>
      </c>
      <c r="F11">
        <f>COUNTIFS($B$32:$B$141,B11,$I$32:$I$141,"Blocked")</f>
        <v>0</v>
      </c>
      <c r="G11">
        <f>COUNTIFS($B$32:$B$141,B11,$I$32:$I$141,"Not Run")</f>
        <v>3</v>
      </c>
      <c r="H11">
        <f>IFERROR(D11/(C11-COUNTIFS($B$32:$B$141,B11,$I$32:$I$141,"N/A")),0)</f>
        <v>0</v>
      </c>
    </row>
    <row r="12">
      <c r="B12" t="str">
        <v>Template 7: Advertise</v>
      </c>
      <c r="C12">
        <f>COUNTIF($B$32:$B$141,B12)</f>
        <v>3</v>
      </c>
      <c r="D12">
        <f>COUNTIFS($B$32:$B$141,B12,$I$32:$I$141,"Pass")</f>
        <v>0</v>
      </c>
      <c r="E12">
        <f>COUNTIFS($B$32:$B$141,B12,$I$32:$I$141,"Fail")</f>
        <v>0</v>
      </c>
      <c r="F12">
        <f>COUNTIFS($B$32:$B$141,B12,$I$32:$I$141,"Blocked")</f>
        <v>0</v>
      </c>
      <c r="G12">
        <f>COUNTIFS($B$32:$B$141,B12,$I$32:$I$141,"Not Run")</f>
        <v>3</v>
      </c>
      <c r="H12">
        <f>IFERROR(D12/(C12-COUNTIFS($B$32:$B$141,B12,$I$32:$I$141,"N/A")),0)</f>
        <v>0</v>
      </c>
    </row>
    <row r="13">
      <c r="B13" t="str">
        <v>Template 8: About</v>
      </c>
      <c r="C13">
        <f>COUNTIF($B$32:$B$141,B13)</f>
        <v>3</v>
      </c>
      <c r="D13">
        <f>COUNTIFS($B$32:$B$141,B13,$I$32:$I$141,"Pass")</f>
        <v>0</v>
      </c>
      <c r="E13">
        <f>COUNTIFS($B$32:$B$141,B13,$I$32:$I$141,"Fail")</f>
        <v>0</v>
      </c>
      <c r="F13">
        <f>COUNTIFS($B$32:$B$141,B13,$I$32:$I$141,"Blocked")</f>
        <v>0</v>
      </c>
      <c r="G13">
        <f>COUNTIFS($B$32:$B$141,B13,$I$32:$I$141,"Not Run")</f>
        <v>3</v>
      </c>
      <c r="H13">
        <f>IFERROR(D13/(C13-COUNTIFS($B$32:$B$141,B13,$I$32:$I$141,"N/A")),0)</f>
        <v>0</v>
      </c>
    </row>
    <row r="14">
      <c r="B14" t="str">
        <v>Template 9: Contact</v>
      </c>
      <c r="C14">
        <f>COUNTIF($B$32:$B$141,B14)</f>
        <v>3</v>
      </c>
      <c r="D14">
        <f>COUNTIFS($B$32:$B$141,B14,$I$32:$I$141,"Pass")</f>
        <v>0</v>
      </c>
      <c r="E14">
        <f>COUNTIFS($B$32:$B$141,B14,$I$32:$I$141,"Fail")</f>
        <v>0</v>
      </c>
      <c r="F14">
        <f>COUNTIFS($B$32:$B$141,B14,$I$32:$I$141,"Blocked")</f>
        <v>0</v>
      </c>
      <c r="G14">
        <f>COUNTIFS($B$32:$B$141,B14,$I$32:$I$141,"Not Run")</f>
        <v>3</v>
      </c>
      <c r="H14">
        <f>IFERROR(D14/(C14-COUNTIFS($B$32:$B$141,B14,$I$32:$I$141,"N/A")),0)</f>
        <v>0</v>
      </c>
    </row>
    <row r="15">
      <c r="B15" t="str">
        <v>WordPress Dynamic Content</v>
      </c>
      <c r="C15">
        <f>COUNTIF($B$32:$B$141,B15)</f>
        <v>8</v>
      </c>
      <c r="D15">
        <f>COUNTIFS($B$32:$B$141,B15,$I$32:$I$141,"Pass")</f>
        <v>0</v>
      </c>
      <c r="E15">
        <f>COUNTIFS($B$32:$B$141,B15,$I$32:$I$141,"Fail")</f>
        <v>0</v>
      </c>
      <c r="F15">
        <f>COUNTIFS($B$32:$B$141,B15,$I$32:$I$141,"Blocked")</f>
        <v>0</v>
      </c>
      <c r="G15">
        <f>COUNTIFS($B$32:$B$141,B15,$I$32:$I$141,"Not Run")</f>
        <v>8</v>
      </c>
      <c r="H15">
        <f>IFERROR(D15/(C15-COUNTIFS($B$32:$B$141,B15,$I$32:$I$141,"N/A")),0)</f>
        <v>0</v>
      </c>
    </row>
    <row r="16">
      <c r="B16" t="str">
        <v>RTL Layout</v>
      </c>
      <c r="C16">
        <f>COUNTIF($B$32:$B$141,B16)</f>
        <v>5</v>
      </c>
      <c r="D16">
        <f>COUNTIFS($B$32:$B$141,B16,$I$32:$I$141,"Pass")</f>
        <v>0</v>
      </c>
      <c r="E16">
        <f>COUNTIFS($B$32:$B$141,B16,$I$32:$I$141,"Fail")</f>
        <v>0</v>
      </c>
      <c r="F16">
        <f>COUNTIFS($B$32:$B$141,B16,$I$32:$I$141,"Blocked")</f>
        <v>0</v>
      </c>
      <c r="G16">
        <f>COUNTIFS($B$32:$B$141,B16,$I$32:$I$141,"Not Run")</f>
        <v>5</v>
      </c>
      <c r="H16">
        <f>IFERROR(D16/(C16-COUNTIFS($B$32:$B$141,B16,$I$32:$I$141,"N/A")),0)</f>
        <v>0</v>
      </c>
    </row>
    <row r="17">
      <c r="B17" t="str">
        <v>Mobile Responsiveness</v>
      </c>
      <c r="C17">
        <f>COUNTIF($B$32:$B$141,B17)</f>
        <v>6</v>
      </c>
      <c r="D17">
        <f>COUNTIFS($B$32:$B$141,B17,$I$32:$I$141,"Pass")</f>
        <v>0</v>
      </c>
      <c r="E17">
        <f>COUNTIFS($B$32:$B$141,B17,$I$32:$I$141,"Fail")</f>
        <v>0</v>
      </c>
      <c r="F17">
        <f>COUNTIFS($B$32:$B$141,B17,$I$32:$I$141,"Blocked")</f>
        <v>0</v>
      </c>
      <c r="G17">
        <f>COUNTIFS($B$32:$B$141,B17,$I$32:$I$141,"Not Run")</f>
        <v>6</v>
      </c>
      <c r="H17">
        <f>IFERROR(D17/(C17-COUNTIFS($B$32:$B$141,B17,$I$32:$I$141,"N/A")),0)</f>
        <v>0</v>
      </c>
    </row>
    <row r="18">
      <c r="B18" t="str">
        <v>Authentication</v>
      </c>
      <c r="C18">
        <f>COUNTIF($B$32:$B$141,B18)</f>
        <v>8</v>
      </c>
      <c r="D18">
        <f>COUNTIFS($B$32:$B$141,B18,$I$32:$I$141,"Pass")</f>
        <v>0</v>
      </c>
      <c r="E18">
        <f>COUNTIFS($B$32:$B$141,B18,$I$32:$I$141,"Fail")</f>
        <v>0</v>
      </c>
      <c r="F18">
        <f>COUNTIFS($B$32:$B$141,B18,$I$32:$I$141,"Blocked")</f>
        <v>0</v>
      </c>
      <c r="G18">
        <f>COUNTIFS($B$32:$B$141,B18,$I$32:$I$141,"Not Run")</f>
        <v>8</v>
      </c>
      <c r="H18">
        <f>IFERROR(D18/(C18-COUNTIFS($B$32:$B$141,B18,$I$32:$I$141,"N/A")),0)</f>
        <v>0</v>
      </c>
    </row>
    <row r="19">
      <c r="B19" t="str">
        <v>Subscription Functionality</v>
      </c>
      <c r="C19">
        <f>COUNTIF($B$32:$B$141,B19)</f>
        <v>5</v>
      </c>
      <c r="D19">
        <f>COUNTIFS($B$32:$B$141,B19,$I$32:$I$141,"Pass")</f>
        <v>0</v>
      </c>
      <c r="E19">
        <f>COUNTIFS($B$32:$B$141,B19,$I$32:$I$141,"Fail")</f>
        <v>0</v>
      </c>
      <c r="F19">
        <f>COUNTIFS($B$32:$B$141,B19,$I$32:$I$141,"Blocked")</f>
        <v>0</v>
      </c>
      <c r="G19">
        <f>COUNTIFS($B$32:$B$141,B19,$I$32:$I$141,"Not Run")</f>
        <v>5</v>
      </c>
      <c r="H19">
        <f>IFERROR(D19/(C19-COUNTIFS($B$32:$B$141,B19,$I$32:$I$141,"N/A")),0)</f>
        <v>0</v>
      </c>
    </row>
    <row r="20">
      <c r="B20" t="str">
        <v>Payment Workflows</v>
      </c>
      <c r="C20">
        <f>COUNTIF($B$32:$B$141,B20)</f>
        <v>7</v>
      </c>
      <c r="D20">
        <f>COUNTIFS($B$32:$B$141,B20,$I$32:$I$141,"Pass")</f>
        <v>0</v>
      </c>
      <c r="E20">
        <f>COUNTIFS($B$32:$B$141,B20,$I$32:$I$141,"Fail")</f>
        <v>0</v>
      </c>
      <c r="F20">
        <f>COUNTIFS($B$32:$B$141,B20,$I$32:$I$141,"Blocked")</f>
        <v>0</v>
      </c>
      <c r="G20">
        <f>COUNTIFS($B$32:$B$141,B20,$I$32:$I$141,"Not Run")</f>
        <v>7</v>
      </c>
      <c r="H20">
        <f>IFERROR(D20/(C20-COUNTIFS($B$32:$B$141,B20,$I$32:$I$141,"N/A")),0)</f>
        <v>0</v>
      </c>
    </row>
    <row r="21">
      <c r="B21" t="str">
        <v>SEO Metadata</v>
      </c>
      <c r="C21">
        <f>COUNTIF($B$32:$B$141,B21)</f>
        <v>8</v>
      </c>
      <c r="D21">
        <f>COUNTIFS($B$32:$B$141,B21,$I$32:$I$141,"Pass")</f>
        <v>0</v>
      </c>
      <c r="E21">
        <f>COUNTIFS($B$32:$B$141,B21,$I$32:$I$141,"Fail")</f>
        <v>0</v>
      </c>
      <c r="F21">
        <f>COUNTIFS($B$32:$B$141,B21,$I$32:$I$141,"Blocked")</f>
        <v>0</v>
      </c>
      <c r="G21">
        <f>COUNTIFS($B$32:$B$141,B21,$I$32:$I$141,"Not Run")</f>
        <v>8</v>
      </c>
      <c r="H21">
        <f>IFERROR(D21/(C21-COUNTIFS($B$32:$B$141,B21,$I$32:$I$141,"N/A")),0)</f>
        <v>0</v>
      </c>
    </row>
    <row r="22">
      <c r="B22" t="str">
        <v>Existing Article URLs</v>
      </c>
      <c r="C22">
        <f>COUNTIF($B$32:$B$141,B22)</f>
        <v>5</v>
      </c>
      <c r="D22">
        <f>COUNTIFS($B$32:$B$141,B22,$I$32:$I$141,"Pass")</f>
        <v>0</v>
      </c>
      <c r="E22">
        <f>COUNTIFS($B$32:$B$141,B22,$I$32:$I$141,"Fail")</f>
        <v>0</v>
      </c>
      <c r="F22">
        <f>COUNTIFS($B$32:$B$141,B22,$I$32:$I$141,"Blocked")</f>
        <v>0</v>
      </c>
      <c r="G22">
        <f>COUNTIFS($B$32:$B$141,B22,$I$32:$I$141,"Not Run")</f>
        <v>5</v>
      </c>
      <c r="H22">
        <f>IFERROR(D22/(C22-COUNTIFS($B$32:$B$141,B22,$I$32:$I$141,"N/A")),0)</f>
        <v>0</v>
      </c>
    </row>
    <row r="23">
      <c r="B23" t="str">
        <v>Performance</v>
      </c>
      <c r="C23">
        <f>COUNTIF($B$32:$B$141,B23)</f>
        <v>6</v>
      </c>
      <c r="D23">
        <f>COUNTIFS($B$32:$B$141,B23,$I$32:$I$141,"Pass")</f>
        <v>0</v>
      </c>
      <c r="E23">
        <f>COUNTIFS($B$32:$B$141,B23,$I$32:$I$141,"Fail")</f>
        <v>0</v>
      </c>
      <c r="F23">
        <f>COUNTIFS($B$32:$B$141,B23,$I$32:$I$141,"Blocked")</f>
        <v>0</v>
      </c>
      <c r="G23">
        <f>COUNTIFS($B$32:$B$141,B23,$I$32:$I$141,"Not Run")</f>
        <v>6</v>
      </c>
      <c r="H23">
        <f>IFERROR(D23/(C23-COUNTIFS($B$32:$B$141,B23,$I$32:$I$141,"N/A")),0)</f>
        <v>0</v>
      </c>
    </row>
    <row r="24">
      <c r="B24" t="str">
        <v>Security</v>
      </c>
      <c r="C24">
        <f>COUNTIF($B$32:$B$141,B24)</f>
        <v>8</v>
      </c>
      <c r="D24">
        <f>COUNTIFS($B$32:$B$141,B24,$I$32:$I$141,"Pass")</f>
        <v>0</v>
      </c>
      <c r="E24">
        <f>COUNTIFS($B$32:$B$141,B24,$I$32:$I$141,"Fail")</f>
        <v>0</v>
      </c>
      <c r="F24">
        <f>COUNTIFS($B$32:$B$141,B24,$I$32:$I$141,"Blocked")</f>
        <v>0</v>
      </c>
      <c r="G24">
        <f>COUNTIFS($B$32:$B$141,B24,$I$32:$I$141,"Not Run")</f>
        <v>8</v>
      </c>
      <c r="H24">
        <f>IFERROR(D24/(C24-COUNTIFS($B$32:$B$141,B24,$I$32:$I$141,"N/A")),0)</f>
        <v>0</v>
      </c>
    </row>
    <row r="25">
      <c r="B25" t="str">
        <v>Contact Forms</v>
      </c>
      <c r="C25">
        <f>COUNTIF($B$32:$B$141,B25)</f>
        <v>5</v>
      </c>
      <c r="D25">
        <f>COUNTIFS($B$32:$B$141,B25,$I$32:$I$141,"Pass")</f>
        <v>0</v>
      </c>
      <c r="E25">
        <f>COUNTIFS($B$32:$B$141,B25,$I$32:$I$141,"Fail")</f>
        <v>0</v>
      </c>
      <c r="F25">
        <f>COUNTIFS($B$32:$B$141,B25,$I$32:$I$141,"Blocked")</f>
        <v>0</v>
      </c>
      <c r="G25">
        <f>COUNTIFS($B$32:$B$141,B25,$I$32:$I$141,"Not Run")</f>
        <v>5</v>
      </c>
      <c r="H25">
        <f>IFERROR(D25/(C25-COUNTIFS($B$32:$B$141,B25,$I$32:$I$141,"N/A")),0)</f>
        <v>0</v>
      </c>
    </row>
    <row r="26">
      <c r="B26" t="str">
        <v>Magazine PDFs</v>
      </c>
      <c r="C26">
        <f>COUNTIF($B$32:$B$141,B26)</f>
        <v>6</v>
      </c>
      <c r="D26">
        <f>COUNTIFS($B$32:$B$141,B26,$I$32:$I$141,"Pass")</f>
        <v>0</v>
      </c>
      <c r="E26">
        <f>COUNTIFS($B$32:$B$141,B26,$I$32:$I$141,"Fail")</f>
        <v>0</v>
      </c>
      <c r="F26">
        <f>COUNTIFS($B$32:$B$141,B26,$I$32:$I$141,"Blocked")</f>
        <v>0</v>
      </c>
      <c r="G26">
        <f>COUNTIFS($B$32:$B$141,B26,$I$32:$I$141,"Not Run")</f>
        <v>6</v>
      </c>
      <c r="H26">
        <f>IFERROR(D26/(C26-COUNTIFS($B$32:$B$141,B26,$I$32:$I$141,"N/A")),0)</f>
        <v>0</v>
      </c>
    </row>
    <row r="27">
      <c r="B27" t="str">
        <v>Browser Compatibility</v>
      </c>
      <c r="C27">
        <f>COUNTIF($B$32:$B$141,B27)</f>
        <v>6</v>
      </c>
      <c r="D27">
        <f>COUNTIFS($B$32:$B$141,B27,$I$32:$I$141,"Pass")</f>
        <v>0</v>
      </c>
      <c r="E27">
        <f>COUNTIFS($B$32:$B$141,B27,$I$32:$I$141,"Fail")</f>
        <v>0</v>
      </c>
      <c r="F27">
        <f>COUNTIFS($B$32:$B$141,B27,$I$32:$I$141,"Blocked")</f>
        <v>0</v>
      </c>
      <c r="G27">
        <f>COUNTIFS($B$32:$B$141,B27,$I$32:$I$141,"Not Run")</f>
        <v>6</v>
      </c>
      <c r="H27">
        <f>IFERROR(D27/(C27-COUNTIFS($B$32:$B$141,B27,$I$32:$I$141,"N/A")),0)</f>
        <v>0</v>
      </c>
    </row>
    <row r="28">
      <c r="B28" t="str">
        <v>TOTAL</v>
      </c>
      <c r="C28">
        <f>SUM(C6:C27)</f>
        <v>110</v>
      </c>
      <c r="D28">
        <f>SUM(D6:D27)</f>
        <v>0</v>
      </c>
      <c r="E28">
        <f>SUM(E6:E27)</f>
        <v>0</v>
      </c>
      <c r="F28">
        <f>SUM(F6:F27)</f>
        <v>0</v>
      </c>
      <c r="G28">
        <f>SUM(G6:G27)</f>
        <v>110</v>
      </c>
      <c r="H28">
        <f>IFERROR(D28/(C28-COUNTIF($I$32:$I$141,"N/A")),0)</f>
        <v>0</v>
      </c>
    </row>
    <row r="31">
      <c r="A31" t="str">
        <v>QA ID</v>
      </c>
      <c r="B31" t="str">
        <v>Area</v>
      </c>
      <c r="C31" t="str">
        <v>Test Case</v>
      </c>
      <c r="D31" t="str">
        <v>Expected Result</v>
      </c>
      <c r="E31" t="str">
        <v>Page / URL</v>
      </c>
      <c r="F31" t="str">
        <v>Device / Browser</v>
      </c>
      <c r="G31" t="str">
        <v>Priority</v>
      </c>
      <c r="H31" t="str">
        <v>Linked Task</v>
      </c>
      <c r="I31" t="str">
        <v>Result</v>
      </c>
      <c r="J31" t="str">
        <v>Tested On</v>
      </c>
      <c r="K31" t="str">
        <v>Defect / Notes</v>
      </c>
    </row>
    <row r="32">
      <c r="A32" t="str">
        <v>QA-001</v>
      </c>
      <c r="B32" t="str">
        <v>Template 1: Homepage</v>
      </c>
      <c r="C32" t="str">
        <v>Homepage renders with correct template</v>
      </c>
      <c r="D32" t="str">
        <v>Correct template file (Query Monitor), header/footer present, no PHP notices</v>
      </c>
      <c r="E32" t="str">
        <v>/</v>
      </c>
      <c r="F32" t="str">
        <v>Desktop Chrome</v>
      </c>
      <c r="G32" t="str">
        <v>P0</v>
      </c>
      <c r="H32" t="str">
        <v>P2-24</v>
      </c>
      <c r="I32" t="str">
        <v>Not Run</v>
      </c>
    </row>
    <row r="33">
      <c r="A33" t="str">
        <v>QA-002</v>
      </c>
      <c r="B33" t="str">
        <v>Template 1: Homepage</v>
      </c>
      <c r="C33" t="str">
        <v>Homepage shows live WordPress content</v>
      </c>
      <c r="D33" t="str">
        <v>All content pulled dynamically; editing in admin updates page after cache purge</v>
      </c>
      <c r="E33" t="str">
        <v>/</v>
      </c>
      <c r="F33" t="str">
        <v>Desktop Chrome</v>
      </c>
      <c r="G33" t="str">
        <v>P0</v>
      </c>
      <c r="H33" t="str">
        <v>P2-24</v>
      </c>
      <c r="I33" t="str">
        <v>Not Run</v>
      </c>
    </row>
    <row r="34">
      <c r="A34" t="str">
        <v>QA-003</v>
      </c>
      <c r="B34" t="str">
        <v>Template 1: Homepage</v>
      </c>
      <c r="C34" t="str">
        <v>Homepage responsive &amp; RTL</v>
      </c>
      <c r="D34" t="str">
        <v>Layout correct at 360/768/1440 px, RTL alignment, no horizontal scroll</v>
      </c>
      <c r="E34" t="str">
        <v>/</v>
      </c>
      <c r="F34" t="str">
        <v>iPhone + Android + Desktop</v>
      </c>
      <c r="G34" t="str">
        <v>P0</v>
      </c>
      <c r="H34" t="str">
        <v>P2-24</v>
      </c>
      <c r="I34" t="str">
        <v>Not Run</v>
      </c>
    </row>
    <row r="35">
      <c r="A35" t="str">
        <v>QA-004</v>
      </c>
      <c r="B35" t="str">
        <v>Template 2: Single Article</v>
      </c>
      <c r="C35" t="str">
        <v>Single Article renders with correct template</v>
      </c>
      <c r="D35" t="str">
        <v>Correct template file (Query Monitor), header/footer present, no PHP notices</v>
      </c>
      <c r="E35" t="str">
        <v>/&lt;sample-article&gt;/</v>
      </c>
      <c r="F35" t="str">
        <v>Desktop Chrome</v>
      </c>
      <c r="G35" t="str">
        <v>P0</v>
      </c>
      <c r="H35" t="str">
        <v>P3-01</v>
      </c>
      <c r="I35" t="str">
        <v>Not Run</v>
      </c>
    </row>
    <row r="36">
      <c r="A36" t="str">
        <v>QA-005</v>
      </c>
      <c r="B36" t="str">
        <v>Template 2: Single Article</v>
      </c>
      <c r="C36" t="str">
        <v>Single Article shows live WordPress content</v>
      </c>
      <c r="D36" t="str">
        <v>All content pulled dynamically; editing in admin updates page after cache purge</v>
      </c>
      <c r="E36" t="str">
        <v>/&lt;sample-article&gt;/</v>
      </c>
      <c r="F36" t="str">
        <v>Desktop Chrome</v>
      </c>
      <c r="G36" t="str">
        <v>P0</v>
      </c>
      <c r="H36" t="str">
        <v>P3-01</v>
      </c>
      <c r="I36" t="str">
        <v>Not Run</v>
      </c>
    </row>
    <row r="37">
      <c r="A37" t="str">
        <v>QA-006</v>
      </c>
      <c r="B37" t="str">
        <v>Template 2: Single Article</v>
      </c>
      <c r="C37" t="str">
        <v>Single Article responsive &amp; RTL</v>
      </c>
      <c r="D37" t="str">
        <v>Layout correct at 360/768/1440 px, RTL alignment, no horizontal scroll</v>
      </c>
      <c r="E37" t="str">
        <v>/&lt;sample-article&gt;/</v>
      </c>
      <c r="F37" t="str">
        <v>iPhone + Android + Desktop</v>
      </c>
      <c r="G37" t="str">
        <v>P0</v>
      </c>
      <c r="H37" t="str">
        <v>P3-01</v>
      </c>
      <c r="I37" t="str">
        <v>Not Run</v>
      </c>
    </row>
    <row r="38">
      <c r="A38" t="str">
        <v>QA-007</v>
      </c>
      <c r="B38" t="str">
        <v>Template 3: Category Archive</v>
      </c>
      <c r="C38" t="str">
        <v>Category Archive renders with correct template</v>
      </c>
      <c r="D38" t="str">
        <v>Correct template file (Query Monitor), header/footer present, no PHP notices</v>
      </c>
      <c r="E38" t="str">
        <v>/category/&lt;slug&gt;/</v>
      </c>
      <c r="F38" t="str">
        <v>Desktop Chrome</v>
      </c>
      <c r="G38" t="str">
        <v>P0</v>
      </c>
      <c r="H38" t="str">
        <v>P3-09</v>
      </c>
      <c r="I38" t="str">
        <v>Not Run</v>
      </c>
    </row>
    <row r="39">
      <c r="A39" t="str">
        <v>QA-008</v>
      </c>
      <c r="B39" t="str">
        <v>Template 3: Category Archive</v>
      </c>
      <c r="C39" t="str">
        <v>Category Archive shows live WordPress content</v>
      </c>
      <c r="D39" t="str">
        <v>All content pulled dynamically; editing in admin updates page after cache purge</v>
      </c>
      <c r="E39" t="str">
        <v>/category/&lt;slug&gt;/</v>
      </c>
      <c r="F39" t="str">
        <v>Desktop Chrome</v>
      </c>
      <c r="G39" t="str">
        <v>P0</v>
      </c>
      <c r="H39" t="str">
        <v>P3-09</v>
      </c>
      <c r="I39" t="str">
        <v>Not Run</v>
      </c>
    </row>
    <row r="40">
      <c r="A40" t="str">
        <v>QA-009</v>
      </c>
      <c r="B40" t="str">
        <v>Template 3: Category Archive</v>
      </c>
      <c r="C40" t="str">
        <v>Category Archive responsive &amp; RTL</v>
      </c>
      <c r="D40" t="str">
        <v>Layout correct at 360/768/1440 px, RTL alignment, no horizontal scroll</v>
      </c>
      <c r="E40" t="str">
        <v>/category/&lt;slug&gt;/</v>
      </c>
      <c r="F40" t="str">
        <v>iPhone + Android + Desktop</v>
      </c>
      <c r="G40" t="str">
        <v>P0</v>
      </c>
      <c r="H40" t="str">
        <v>P3-09</v>
      </c>
      <c r="I40" t="str">
        <v>Not Run</v>
      </c>
    </row>
    <row r="41">
      <c r="A41" t="str">
        <v>QA-010</v>
      </c>
      <c r="B41" t="str">
        <v>Template 4: Author Profile</v>
      </c>
      <c r="C41" t="str">
        <v>Author Profile renders with correct template</v>
      </c>
      <c r="D41" t="str">
        <v>Correct template file (Query Monitor), header/footer present, no PHP notices</v>
      </c>
      <c r="E41" t="str">
        <v>/author/&lt;slug&gt;/</v>
      </c>
      <c r="F41" t="str">
        <v>Desktop Chrome</v>
      </c>
      <c r="G41" t="str">
        <v>P0</v>
      </c>
      <c r="H41" t="str">
        <v>P3-08</v>
      </c>
      <c r="I41" t="str">
        <v>Not Run</v>
      </c>
    </row>
    <row r="42">
      <c r="A42" t="str">
        <v>QA-011</v>
      </c>
      <c r="B42" t="str">
        <v>Template 4: Author Profile</v>
      </c>
      <c r="C42" t="str">
        <v>Author Profile shows live WordPress content</v>
      </c>
      <c r="D42" t="str">
        <v>All content pulled dynamically; editing in admin updates page after cache purge</v>
      </c>
      <c r="E42" t="str">
        <v>/author/&lt;slug&gt;/</v>
      </c>
      <c r="F42" t="str">
        <v>Desktop Chrome</v>
      </c>
      <c r="G42" t="str">
        <v>P0</v>
      </c>
      <c r="H42" t="str">
        <v>P3-08</v>
      </c>
      <c r="I42" t="str">
        <v>Not Run</v>
      </c>
    </row>
    <row r="43">
      <c r="A43" t="str">
        <v>QA-012</v>
      </c>
      <c r="B43" t="str">
        <v>Template 4: Author Profile</v>
      </c>
      <c r="C43" t="str">
        <v>Author Profile responsive &amp; RTL</v>
      </c>
      <c r="D43" t="str">
        <v>Layout correct at 360/768/1440 px, RTL alignment, no horizontal scroll</v>
      </c>
      <c r="E43" t="str">
        <v>/author/&lt;slug&gt;/</v>
      </c>
      <c r="F43" t="str">
        <v>iPhone + Android + Desktop</v>
      </c>
      <c r="G43" t="str">
        <v>P0</v>
      </c>
      <c r="H43" t="str">
        <v>P3-08</v>
      </c>
      <c r="I43" t="str">
        <v>Not Run</v>
      </c>
    </row>
    <row r="44">
      <c r="A44" t="str">
        <v>QA-013</v>
      </c>
      <c r="B44" t="str">
        <v>Template 5: Issues Archive</v>
      </c>
      <c r="C44" t="str">
        <v>Issues Archive renders with correct template</v>
      </c>
      <c r="D44" t="str">
        <v>Correct template file (Query Monitor), header/footer present, no PHP notices</v>
      </c>
      <c r="E44" t="str">
        <v>/issues/</v>
      </c>
      <c r="F44" t="str">
        <v>Desktop Chrome</v>
      </c>
      <c r="G44" t="str">
        <v>P0</v>
      </c>
      <c r="H44" t="str">
        <v>P4-06</v>
      </c>
      <c r="I44" t="str">
        <v>Not Run</v>
      </c>
    </row>
    <row r="45">
      <c r="A45" t="str">
        <v>QA-014</v>
      </c>
      <c r="B45" t="str">
        <v>Template 5: Issues Archive</v>
      </c>
      <c r="C45" t="str">
        <v>Issues Archive shows live WordPress content</v>
      </c>
      <c r="D45" t="str">
        <v>All content pulled dynamically; editing in admin updates page after cache purge</v>
      </c>
      <c r="E45" t="str">
        <v>/issues/</v>
      </c>
      <c r="F45" t="str">
        <v>Desktop Chrome</v>
      </c>
      <c r="G45" t="str">
        <v>P0</v>
      </c>
      <c r="H45" t="str">
        <v>P4-06</v>
      </c>
      <c r="I45" t="str">
        <v>Not Run</v>
      </c>
    </row>
    <row r="46">
      <c r="A46" t="str">
        <v>QA-015</v>
      </c>
      <c r="B46" t="str">
        <v>Template 5: Issues Archive</v>
      </c>
      <c r="C46" t="str">
        <v>Issues Archive responsive &amp; RTL</v>
      </c>
      <c r="D46" t="str">
        <v>Layout correct at 360/768/1440 px, RTL alignment, no horizontal scroll</v>
      </c>
      <c r="E46" t="str">
        <v>/issues/</v>
      </c>
      <c r="F46" t="str">
        <v>iPhone + Android + Desktop</v>
      </c>
      <c r="G46" t="str">
        <v>P0</v>
      </c>
      <c r="H46" t="str">
        <v>P4-06</v>
      </c>
      <c r="I46" t="str">
        <v>Not Run</v>
      </c>
    </row>
    <row r="47">
      <c r="A47" t="str">
        <v>QA-016</v>
      </c>
      <c r="B47" t="str">
        <v>Template 6: Single Issue</v>
      </c>
      <c r="C47" t="str">
        <v>Single Issue renders with correct template</v>
      </c>
      <c r="D47" t="str">
        <v>Correct template file (Query Monitor), header/footer present, no PHP notices</v>
      </c>
      <c r="E47" t="str">
        <v>/issues/&lt;issue&gt;/</v>
      </c>
      <c r="F47" t="str">
        <v>Desktop Chrome</v>
      </c>
      <c r="G47" t="str">
        <v>P0</v>
      </c>
      <c r="H47" t="str">
        <v>P4-08</v>
      </c>
      <c r="I47" t="str">
        <v>Not Run</v>
      </c>
    </row>
    <row r="48">
      <c r="A48" t="str">
        <v>QA-017</v>
      </c>
      <c r="B48" t="str">
        <v>Template 6: Single Issue</v>
      </c>
      <c r="C48" t="str">
        <v>Single Issue shows live WordPress content</v>
      </c>
      <c r="D48" t="str">
        <v>All content pulled dynamically; editing in admin updates page after cache purge</v>
      </c>
      <c r="E48" t="str">
        <v>/issues/&lt;issue&gt;/</v>
      </c>
      <c r="F48" t="str">
        <v>Desktop Chrome</v>
      </c>
      <c r="G48" t="str">
        <v>P0</v>
      </c>
      <c r="H48" t="str">
        <v>P4-08</v>
      </c>
      <c r="I48" t="str">
        <v>Not Run</v>
      </c>
    </row>
    <row r="49">
      <c r="A49" t="str">
        <v>QA-018</v>
      </c>
      <c r="B49" t="str">
        <v>Template 6: Single Issue</v>
      </c>
      <c r="C49" t="str">
        <v>Single Issue responsive &amp; RTL</v>
      </c>
      <c r="D49" t="str">
        <v>Layout correct at 360/768/1440 px, RTL alignment, no horizontal scroll</v>
      </c>
      <c r="E49" t="str">
        <v>/issues/&lt;issue&gt;/</v>
      </c>
      <c r="F49" t="str">
        <v>iPhone + Android + Desktop</v>
      </c>
      <c r="G49" t="str">
        <v>P0</v>
      </c>
      <c r="H49" t="str">
        <v>P4-08</v>
      </c>
      <c r="I49" t="str">
        <v>Not Run</v>
      </c>
    </row>
    <row r="50">
      <c r="A50" t="str">
        <v>QA-019</v>
      </c>
      <c r="B50" t="str">
        <v>Template 7: Advertise</v>
      </c>
      <c r="C50" t="str">
        <v>Advertise renders with correct template</v>
      </c>
      <c r="D50" t="str">
        <v>Correct template file (Query Monitor), header/footer present, no PHP notices</v>
      </c>
      <c r="E50" t="str">
        <v>/advertise/</v>
      </c>
      <c r="F50" t="str">
        <v>Desktop Chrome</v>
      </c>
      <c r="G50" t="str">
        <v>P0</v>
      </c>
      <c r="H50" t="str">
        <v>P5-14</v>
      </c>
      <c r="I50" t="str">
        <v>Not Run</v>
      </c>
    </row>
    <row r="51">
      <c r="A51" t="str">
        <v>QA-020</v>
      </c>
      <c r="B51" t="str">
        <v>Template 7: Advertise</v>
      </c>
      <c r="C51" t="str">
        <v>Advertise shows live WordPress content</v>
      </c>
      <c r="D51" t="str">
        <v>All content pulled dynamically; editing in admin updates page after cache purge</v>
      </c>
      <c r="E51" t="str">
        <v>/advertise/</v>
      </c>
      <c r="F51" t="str">
        <v>Desktop Chrome</v>
      </c>
      <c r="G51" t="str">
        <v>P0</v>
      </c>
      <c r="H51" t="str">
        <v>P5-14</v>
      </c>
      <c r="I51" t="str">
        <v>Not Run</v>
      </c>
    </row>
    <row r="52">
      <c r="A52" t="str">
        <v>QA-021</v>
      </c>
      <c r="B52" t="str">
        <v>Template 7: Advertise</v>
      </c>
      <c r="C52" t="str">
        <v>Advertise responsive &amp; RTL</v>
      </c>
      <c r="D52" t="str">
        <v>Layout correct at 360/768/1440 px, RTL alignment, no horizontal scroll</v>
      </c>
      <c r="E52" t="str">
        <v>/advertise/</v>
      </c>
      <c r="F52" t="str">
        <v>iPhone + Android + Desktop</v>
      </c>
      <c r="G52" t="str">
        <v>P0</v>
      </c>
      <c r="H52" t="str">
        <v>P5-14</v>
      </c>
      <c r="I52" t="str">
        <v>Not Run</v>
      </c>
    </row>
    <row r="53">
      <c r="A53" t="str">
        <v>QA-022</v>
      </c>
      <c r="B53" t="str">
        <v>Template 8: About</v>
      </c>
      <c r="C53" t="str">
        <v>About renders with correct template</v>
      </c>
      <c r="D53" t="str">
        <v>Correct template file (Query Monitor), header/footer present, no PHP notices</v>
      </c>
      <c r="E53" t="str">
        <v>/about/</v>
      </c>
      <c r="F53" t="str">
        <v>Desktop Chrome</v>
      </c>
      <c r="G53" t="str">
        <v>P0</v>
      </c>
      <c r="H53" t="str">
        <v>P5-18</v>
      </c>
      <c r="I53" t="str">
        <v>Not Run</v>
      </c>
    </row>
    <row r="54">
      <c r="A54" t="str">
        <v>QA-023</v>
      </c>
      <c r="B54" t="str">
        <v>Template 8: About</v>
      </c>
      <c r="C54" t="str">
        <v>About shows live WordPress content</v>
      </c>
      <c r="D54" t="str">
        <v>All content pulled dynamically; editing in admin updates page after cache purge</v>
      </c>
      <c r="E54" t="str">
        <v>/about/</v>
      </c>
      <c r="F54" t="str">
        <v>Desktop Chrome</v>
      </c>
      <c r="G54" t="str">
        <v>P0</v>
      </c>
      <c r="H54" t="str">
        <v>P5-18</v>
      </c>
      <c r="I54" t="str">
        <v>Not Run</v>
      </c>
    </row>
    <row r="55">
      <c r="A55" t="str">
        <v>QA-024</v>
      </c>
      <c r="B55" t="str">
        <v>Template 8: About</v>
      </c>
      <c r="C55" t="str">
        <v>About responsive &amp; RTL</v>
      </c>
      <c r="D55" t="str">
        <v>Layout correct at 360/768/1440 px, RTL alignment, no horizontal scroll</v>
      </c>
      <c r="E55" t="str">
        <v>/about/</v>
      </c>
      <c r="F55" t="str">
        <v>iPhone + Android + Desktop</v>
      </c>
      <c r="G55" t="str">
        <v>P0</v>
      </c>
      <c r="H55" t="str">
        <v>P5-18</v>
      </c>
      <c r="I55" t="str">
        <v>Not Run</v>
      </c>
    </row>
    <row r="56">
      <c r="A56" t="str">
        <v>QA-025</v>
      </c>
      <c r="B56" t="str">
        <v>Template 9: Contact</v>
      </c>
      <c r="C56" t="str">
        <v>Contact renders with correct template</v>
      </c>
      <c r="D56" t="str">
        <v>Correct template file (Query Monitor), header/footer present, no PHP notices</v>
      </c>
      <c r="E56" t="str">
        <v>/contact/</v>
      </c>
      <c r="F56" t="str">
        <v>Desktop Chrome</v>
      </c>
      <c r="G56" t="str">
        <v>P0</v>
      </c>
      <c r="H56" t="str">
        <v>P5-19</v>
      </c>
      <c r="I56" t="str">
        <v>Not Run</v>
      </c>
    </row>
    <row r="57">
      <c r="A57" t="str">
        <v>QA-026</v>
      </c>
      <c r="B57" t="str">
        <v>Template 9: Contact</v>
      </c>
      <c r="C57" t="str">
        <v>Contact shows live WordPress content</v>
      </c>
      <c r="D57" t="str">
        <v>All content pulled dynamically; editing in admin updates page after cache purge</v>
      </c>
      <c r="E57" t="str">
        <v>/contact/</v>
      </c>
      <c r="F57" t="str">
        <v>Desktop Chrome</v>
      </c>
      <c r="G57" t="str">
        <v>P0</v>
      </c>
      <c r="H57" t="str">
        <v>P5-19</v>
      </c>
      <c r="I57" t="str">
        <v>Not Run</v>
      </c>
    </row>
    <row r="58">
      <c r="A58" t="str">
        <v>QA-027</v>
      </c>
      <c r="B58" t="str">
        <v>Template 9: Contact</v>
      </c>
      <c r="C58" t="str">
        <v>Contact responsive &amp; RTL</v>
      </c>
      <c r="D58" t="str">
        <v>Layout correct at 360/768/1440 px, RTL alignment, no horizontal scroll</v>
      </c>
      <c r="E58" t="str">
        <v>/contact/</v>
      </c>
      <c r="F58" t="str">
        <v>iPhone + Android + Desktop</v>
      </c>
      <c r="G58" t="str">
        <v>P0</v>
      </c>
      <c r="H58" t="str">
        <v>P5-19</v>
      </c>
      <c r="I58" t="str">
        <v>Not Run</v>
      </c>
    </row>
    <row r="59">
      <c r="A59" t="str">
        <v>QA-028</v>
      </c>
      <c r="B59" t="str">
        <v>WordPress Dynamic Content</v>
      </c>
      <c r="C59" t="str">
        <v>Section source change (category/tag)</v>
      </c>
      <c r="D59" t="str">
        <v>Section shows posts from newly selected terms</v>
      </c>
      <c r="E59" t="str">
        <v>/</v>
      </c>
      <c r="F59" t="str">
        <v>Desktop Chrome</v>
      </c>
      <c r="G59" t="str">
        <v>P0</v>
      </c>
      <c r="H59" t="str">
        <v>P2-03</v>
      </c>
      <c r="I59" t="str">
        <v>Not Run</v>
      </c>
    </row>
    <row r="60">
      <c r="A60" t="str">
        <v>QA-029</v>
      </c>
      <c r="B60" t="str">
        <v>WordPress Dynamic Content</v>
      </c>
      <c r="C60" t="str">
        <v>Post count / order / offset</v>
      </c>
      <c r="D60" t="str">
        <v>Output matches configured values exactly</v>
      </c>
      <c r="E60" t="str">
        <v>/</v>
      </c>
      <c r="F60" t="str">
        <v>Desktop Chrome</v>
      </c>
      <c r="G60" t="str">
        <v>P0</v>
      </c>
      <c r="H60" t="str">
        <v>P2-04</v>
      </c>
      <c r="I60" t="str">
        <v>Not Run</v>
      </c>
    </row>
    <row r="61">
      <c r="A61" t="str">
        <v>QA-030</v>
      </c>
      <c r="B61" t="str">
        <v>WordPress Dynamic Content</v>
      </c>
      <c r="C61" t="str">
        <v>Manual post selection</v>
      </c>
      <c r="D61" t="str">
        <v>Pinned posts appear in chosen order</v>
      </c>
      <c r="E61" t="str">
        <v>/</v>
      </c>
      <c r="F61" t="str">
        <v>Desktop Chrome</v>
      </c>
      <c r="G61" t="str">
        <v>P0</v>
      </c>
      <c r="H61" t="str">
        <v>P2-05</v>
      </c>
      <c r="I61" t="str">
        <v>Not Run</v>
      </c>
    </row>
    <row r="62">
      <c r="A62" t="str">
        <v>QA-031</v>
      </c>
      <c r="B62" t="str">
        <v>WordPress Dynamic Content</v>
      </c>
      <c r="C62" t="str">
        <v>Layout switch</v>
      </c>
      <c r="D62" t="str">
        <v>Each layout variant renders</v>
      </c>
      <c r="E62" t="str">
        <v>/</v>
      </c>
      <c r="F62" t="str">
        <v>Desktop Chrome</v>
      </c>
      <c r="G62" t="str">
        <v>P0</v>
      </c>
      <c r="H62" t="str">
        <v>P2-06</v>
      </c>
      <c r="I62" t="str">
        <v>Not Run</v>
      </c>
    </row>
    <row r="63">
      <c r="A63" t="str">
        <v>QA-032</v>
      </c>
      <c r="B63" t="str">
        <v>WordPress Dynamic Content</v>
      </c>
      <c r="C63" t="str">
        <v>Section hide / reorder</v>
      </c>
      <c r="D63" t="str">
        <v>Hidden section gone; order updated; no duplicates</v>
      </c>
      <c r="E63" t="str">
        <v>/</v>
      </c>
      <c r="F63" t="str">
        <v>Desktop Chrome</v>
      </c>
      <c r="G63" t="str">
        <v>P0</v>
      </c>
      <c r="H63" t="str">
        <v>P2-07</v>
      </c>
      <c r="I63" t="str">
        <v>Not Run</v>
      </c>
    </row>
    <row r="64">
      <c r="A64" t="str">
        <v>QA-033</v>
      </c>
      <c r="B64" t="str">
        <v>WordPress Dynamic Content</v>
      </c>
      <c r="C64" t="str">
        <v>Publish new post</v>
      </c>
      <c r="D64" t="str">
        <v>Appears in relevant sections after auto-purge</v>
      </c>
      <c r="E64" t="str">
        <v>/</v>
      </c>
      <c r="F64" t="str">
        <v>Desktop Chrome</v>
      </c>
      <c r="G64" t="str">
        <v>P0</v>
      </c>
      <c r="H64" t="str">
        <v>P2-08</v>
      </c>
      <c r="I64" t="str">
        <v>Not Run</v>
      </c>
    </row>
    <row r="65">
      <c r="A65" t="str">
        <v>QA-034</v>
      </c>
      <c r="B65" t="str">
        <v>WordPress Dynamic Content</v>
      </c>
      <c r="C65" t="str">
        <v>Breaking ticker source</v>
      </c>
      <c r="D65" t="str">
        <v>Adding/removing breaking tag updates ticker</v>
      </c>
      <c r="E65" t="str">
        <v>/</v>
      </c>
      <c r="F65" t="str">
        <v>Desktop Chrome</v>
      </c>
      <c r="G65" t="str">
        <v>P0</v>
      </c>
      <c r="H65" t="str">
        <v>P2-10</v>
      </c>
      <c r="I65" t="str">
        <v>Not Run</v>
      </c>
    </row>
    <row r="66">
      <c r="A66" t="str">
        <v>QA-035</v>
      </c>
      <c r="B66" t="str">
        <v>WordPress Dynamic Content</v>
      </c>
      <c r="C66" t="str">
        <v>Most-read widget</v>
      </c>
      <c r="D66" t="str">
        <v>Counts increment and tabs switch</v>
      </c>
      <c r="E66" t="str">
        <v>/</v>
      </c>
      <c r="F66" t="str">
        <v>Desktop Chrome</v>
      </c>
      <c r="G66" t="str">
        <v>P0</v>
      </c>
      <c r="H66" t="str">
        <v>P2-22</v>
      </c>
      <c r="I66" t="str">
        <v>Not Run</v>
      </c>
    </row>
    <row r="67">
      <c r="A67" t="str">
        <v>QA-036</v>
      </c>
      <c r="B67" t="str">
        <v>RTL Layout</v>
      </c>
      <c r="C67" t="str">
        <v>Document direction</v>
      </c>
      <c r="D67" t="str">
        <v>&lt;html dir='rtl' lang='ar'&gt; on every template</v>
      </c>
      <c r="E67" t="str">
        <v>All</v>
      </c>
      <c r="F67" t="str">
        <v>Desktop + Mobile</v>
      </c>
      <c r="G67" t="str">
        <v>P0</v>
      </c>
      <c r="H67" t="str">
        <v>P1-09</v>
      </c>
      <c r="I67" t="str">
        <v>Not Run</v>
      </c>
    </row>
    <row r="68">
      <c r="A68" t="str">
        <v>QA-037</v>
      </c>
      <c r="B68" t="str">
        <v>RTL Layout</v>
      </c>
      <c r="C68" t="str">
        <v>Mixed Arabic/English text</v>
      </c>
      <c r="D68" t="str">
        <v>Bidi isolation correct, punctuation in right place</v>
      </c>
      <c r="E68" t="str">
        <v>All</v>
      </c>
      <c r="F68" t="str">
        <v>Desktop + Mobile</v>
      </c>
      <c r="G68" t="str">
        <v>P0</v>
      </c>
      <c r="H68" t="str">
        <v>P1-09</v>
      </c>
      <c r="I68" t="str">
        <v>Not Run</v>
      </c>
    </row>
    <row r="69">
      <c r="A69" t="str">
        <v>QA-038</v>
      </c>
      <c r="B69" t="str">
        <v>RTL Layout</v>
      </c>
      <c r="C69" t="str">
        <v>Icons &amp; arrows mirrored</v>
      </c>
      <c r="D69" t="str">
        <v>Directional icons point correctly in RTL</v>
      </c>
      <c r="E69" t="str">
        <v>All</v>
      </c>
      <c r="F69" t="str">
        <v>Desktop + Mobile</v>
      </c>
      <c r="G69" t="str">
        <v>P0</v>
      </c>
      <c r="H69" t="str">
        <v>P1-09</v>
      </c>
      <c r="I69" t="str">
        <v>Not Run</v>
      </c>
    </row>
    <row r="70">
      <c r="A70" t="str">
        <v>QA-039</v>
      </c>
      <c r="B70" t="str">
        <v>RTL Layout</v>
      </c>
      <c r="C70" t="str">
        <v>Forms in RTL</v>
      </c>
      <c r="D70" t="str">
        <v>Inputs, labels, errors aligned right</v>
      </c>
      <c r="E70" t="str">
        <v>All</v>
      </c>
      <c r="F70" t="str">
        <v>Desktop + Mobile</v>
      </c>
      <c r="G70" t="str">
        <v>P0</v>
      </c>
      <c r="H70" t="str">
        <v>P1-09</v>
      </c>
      <c r="I70" t="str">
        <v>Not Run</v>
      </c>
    </row>
    <row r="71">
      <c r="A71" t="str">
        <v>QA-040</v>
      </c>
      <c r="B71" t="str">
        <v>RTL Layout</v>
      </c>
      <c r="C71" t="str">
        <v>Ticker &amp; sliders direction</v>
      </c>
      <c r="D71" t="str">
        <v>Scroll/swipe direction natural for RTL</v>
      </c>
      <c r="E71" t="str">
        <v>All</v>
      </c>
      <c r="F71" t="str">
        <v>Desktop + Mobile</v>
      </c>
      <c r="G71" t="str">
        <v>P0</v>
      </c>
      <c r="H71" t="str">
        <v>P1-09</v>
      </c>
      <c r="I71" t="str">
        <v>Not Run</v>
      </c>
    </row>
    <row r="72">
      <c r="A72" t="str">
        <v>QA-041</v>
      </c>
      <c r="B72" t="str">
        <v>Mobile Responsiveness</v>
      </c>
      <c r="C72" t="str">
        <v>360 px small phone</v>
      </c>
      <c r="D72" t="str">
        <v>All templates usable, tap targets ≥ 44 px</v>
      </c>
      <c r="E72" t="str">
        <v>All</v>
      </c>
      <c r="F72" t="str">
        <v>iPhone Safari, Android Chrome</v>
      </c>
      <c r="G72" t="str">
        <v>P0</v>
      </c>
      <c r="H72" t="str">
        <v>P6-13</v>
      </c>
      <c r="I72" t="str">
        <v>Not Run</v>
      </c>
    </row>
    <row r="73">
      <c r="A73" t="str">
        <v>QA-042</v>
      </c>
      <c r="B73" t="str">
        <v>Mobile Responsiveness</v>
      </c>
      <c r="C73" t="str">
        <v>Mobile navigation drawer</v>
      </c>
      <c r="D73" t="str">
        <v>Opens, closes, focus trapped, scroll locked</v>
      </c>
      <c r="E73" t="str">
        <v>All</v>
      </c>
      <c r="F73" t="str">
        <v>iPhone Safari, Android Chrome</v>
      </c>
      <c r="G73" t="str">
        <v>P0</v>
      </c>
      <c r="H73" t="str">
        <v>P6-13</v>
      </c>
      <c r="I73" t="str">
        <v>Not Run</v>
      </c>
    </row>
    <row r="74">
      <c r="A74" t="str">
        <v>QA-043</v>
      </c>
      <c r="B74" t="str">
        <v>Mobile Responsiveness</v>
      </c>
      <c r="C74" t="str">
        <v>Tablet 768–1024 px</v>
      </c>
      <c r="D74" t="str">
        <v>Grids reflow correctly</v>
      </c>
      <c r="E74" t="str">
        <v>All</v>
      </c>
      <c r="F74" t="str">
        <v>iPhone Safari, Android Chrome</v>
      </c>
      <c r="G74" t="str">
        <v>P0</v>
      </c>
      <c r="H74" t="str">
        <v>P6-13</v>
      </c>
      <c r="I74" t="str">
        <v>Not Run</v>
      </c>
    </row>
    <row r="75">
      <c r="A75" t="str">
        <v>QA-044</v>
      </c>
      <c r="B75" t="str">
        <v>Mobile Responsiveness</v>
      </c>
      <c r="C75" t="str">
        <v>Images &amp; covers</v>
      </c>
      <c r="D75" t="str">
        <v>Correct srcset size served, no distortion</v>
      </c>
      <c r="E75" t="str">
        <v>All</v>
      </c>
      <c r="F75" t="str">
        <v>iPhone Safari, Android Chrome</v>
      </c>
      <c r="G75" t="str">
        <v>P0</v>
      </c>
      <c r="H75" t="str">
        <v>P6-13</v>
      </c>
      <c r="I75" t="str">
        <v>Not Run</v>
      </c>
    </row>
    <row r="76">
      <c r="A76" t="str">
        <v>QA-045</v>
      </c>
      <c r="B76" t="str">
        <v>Mobile Responsiveness</v>
      </c>
      <c r="C76" t="str">
        <v>Flipbook on mobile</v>
      </c>
      <c r="D76" t="str">
        <v>Fallback reader usable</v>
      </c>
      <c r="E76" t="str">
        <v>All</v>
      </c>
      <c r="F76" t="str">
        <v>iPhone Safari, Android Chrome</v>
      </c>
      <c r="G76" t="str">
        <v>P0</v>
      </c>
      <c r="H76" t="str">
        <v>P6-13</v>
      </c>
      <c r="I76" t="str">
        <v>Not Run</v>
      </c>
    </row>
    <row r="77">
      <c r="A77" t="str">
        <v>QA-046</v>
      </c>
      <c r="B77" t="str">
        <v>Mobile Responsiveness</v>
      </c>
      <c r="C77" t="str">
        <v>Forms on mobile</v>
      </c>
      <c r="D77" t="str">
        <v>Correct keyboard types, no zoom on focus</v>
      </c>
      <c r="E77" t="str">
        <v>All</v>
      </c>
      <c r="F77" t="str">
        <v>iPhone Safari, Android Chrome</v>
      </c>
      <c r="G77" t="str">
        <v>P0</v>
      </c>
      <c r="H77" t="str">
        <v>P6-13</v>
      </c>
      <c r="I77" t="str">
        <v>Not Run</v>
      </c>
    </row>
    <row r="78">
      <c r="A78" t="str">
        <v>QA-047</v>
      </c>
      <c r="B78" t="str">
        <v>Authentication</v>
      </c>
      <c r="C78" t="str">
        <v>Email registration + verification</v>
      </c>
      <c r="D78" t="str">
        <v>Account created, verification email received, account activated</v>
      </c>
      <c r="E78" t="str">
        <v>/login/, /register/, /account/</v>
      </c>
      <c r="F78" t="str">
        <v>Desktop + Mobile</v>
      </c>
      <c r="G78" t="str">
        <v>P0</v>
      </c>
      <c r="H78" t="str">
        <v>P5-04</v>
      </c>
      <c r="I78" t="str">
        <v>Not Run</v>
      </c>
    </row>
    <row r="79">
      <c r="A79" t="str">
        <v>QA-048</v>
      </c>
      <c r="B79" t="str">
        <v>Authentication</v>
      </c>
      <c r="C79" t="str">
        <v>Login / logout</v>
      </c>
      <c r="D79" t="str">
        <v>Redirects correct, session cleared on logout</v>
      </c>
      <c r="E79" t="str">
        <v>/login/, /register/, /account/</v>
      </c>
      <c r="F79" t="str">
        <v>Desktop + Mobile</v>
      </c>
      <c r="G79" t="str">
        <v>P0</v>
      </c>
      <c r="H79" t="str">
        <v>P5-04</v>
      </c>
      <c r="I79" t="str">
        <v>Not Run</v>
      </c>
    </row>
    <row r="80">
      <c r="A80" t="str">
        <v>QA-049</v>
      </c>
      <c r="B80" t="str">
        <v>Authentication</v>
      </c>
      <c r="C80" t="str">
        <v>Password reset</v>
      </c>
      <c r="D80" t="str">
        <v>Reset email received; link expires; new password works</v>
      </c>
      <c r="E80" t="str">
        <v>/login/, /register/, /account/</v>
      </c>
      <c r="F80" t="str">
        <v>Desktop + Mobile</v>
      </c>
      <c r="G80" t="str">
        <v>P0</v>
      </c>
      <c r="H80" t="str">
        <v>P5-04</v>
      </c>
      <c r="I80" t="str">
        <v>Not Run</v>
      </c>
    </row>
    <row r="81">
      <c r="A81" t="str">
        <v>QA-050</v>
      </c>
      <c r="B81" t="str">
        <v>Authentication</v>
      </c>
      <c r="C81" t="str">
        <v>Google sign-in</v>
      </c>
      <c r="D81" t="str">
        <v>New &amp; existing account linking works</v>
      </c>
      <c r="E81" t="str">
        <v>/login/, /register/, /account/</v>
      </c>
      <c r="F81" t="str">
        <v>Desktop + Mobile</v>
      </c>
      <c r="G81" t="str">
        <v>P0</v>
      </c>
      <c r="H81" t="str">
        <v>P5-05</v>
      </c>
      <c r="I81" t="str">
        <v>Not Run</v>
      </c>
    </row>
    <row r="82">
      <c r="A82" t="str">
        <v>QA-051</v>
      </c>
      <c r="B82" t="str">
        <v>Authentication</v>
      </c>
      <c r="C82" t="str">
        <v>Apple sign-in</v>
      </c>
      <c r="D82" t="str">
        <v>Works incl. private relay email</v>
      </c>
      <c r="E82" t="str">
        <v>/login/, /register/, /account/</v>
      </c>
      <c r="F82" t="str">
        <v>Desktop + Mobile</v>
      </c>
      <c r="G82" t="str">
        <v>P0</v>
      </c>
      <c r="H82" t="str">
        <v>P5-06</v>
      </c>
      <c r="I82" t="str">
        <v>Not Run</v>
      </c>
    </row>
    <row r="83">
      <c r="A83" t="str">
        <v>QA-052</v>
      </c>
      <c r="B83" t="str">
        <v>Authentication</v>
      </c>
      <c r="C83" t="str">
        <v>Rate limiting</v>
      </c>
      <c r="D83" t="str">
        <v>Lockout after repeated failures; generic error messages</v>
      </c>
      <c r="E83" t="str">
        <v>/login/, /register/, /account/</v>
      </c>
      <c r="F83" t="str">
        <v>Desktop + Mobile</v>
      </c>
      <c r="G83" t="str">
        <v>P0</v>
      </c>
      <c r="H83" t="str">
        <v>P5-12</v>
      </c>
      <c r="I83" t="str">
        <v>Not Run</v>
      </c>
    </row>
    <row r="84">
      <c r="A84" t="str">
        <v>QA-053</v>
      </c>
      <c r="B84" t="str">
        <v>Authentication</v>
      </c>
      <c r="C84" t="str">
        <v>No user enumeration</v>
      </c>
      <c r="D84" t="str">
        <v>Login/reset responses do not reveal whether user exists</v>
      </c>
      <c r="E84" t="str">
        <v>/login/, /register/, /account/</v>
      </c>
      <c r="F84" t="str">
        <v>Desktop + Mobile</v>
      </c>
      <c r="G84" t="str">
        <v>P0</v>
      </c>
      <c r="H84" t="str">
        <v>P5-12</v>
      </c>
      <c r="I84" t="str">
        <v>Not Run</v>
      </c>
    </row>
    <row r="85">
      <c r="A85" t="str">
        <v>QA-054</v>
      </c>
      <c r="B85" t="str">
        <v>Authentication</v>
      </c>
      <c r="C85" t="str">
        <v>Member dashboard</v>
      </c>
      <c r="D85" t="str">
        <v>Profile, plan, history, downloads visible</v>
      </c>
      <c r="E85" t="str">
        <v>/login/, /register/, /account/</v>
      </c>
      <c r="F85" t="str">
        <v>Desktop + Mobile</v>
      </c>
      <c r="G85" t="str">
        <v>P0</v>
      </c>
      <c r="H85" t="str">
        <v>P5-11</v>
      </c>
      <c r="I85" t="str">
        <v>Not Run</v>
      </c>
    </row>
    <row r="86">
      <c r="A86" t="str">
        <v>QA-055</v>
      </c>
      <c r="B86" t="str">
        <v>Subscription Functionality</v>
      </c>
      <c r="C86" t="str">
        <v>Tier entitlements</v>
      </c>
      <c r="D86" t="str">
        <v>Each tier accesses only its content/issues</v>
      </c>
      <c r="E86" t="str">
        <v>/subscribe/, /account/</v>
      </c>
      <c r="F86" t="str">
        <v>Desktop</v>
      </c>
      <c r="G86" t="str">
        <v>P0</v>
      </c>
      <c r="H86" t="str">
        <v>P5-07</v>
      </c>
      <c r="I86" t="str">
        <v>Not Run</v>
      </c>
    </row>
    <row r="87">
      <c r="A87" t="str">
        <v>QA-056</v>
      </c>
      <c r="B87" t="str">
        <v>Subscription Functionality</v>
      </c>
      <c r="C87" t="str">
        <v>Upgrade</v>
      </c>
      <c r="D87" t="str">
        <v>Upgrading changes entitlements immediately</v>
      </c>
      <c r="E87" t="str">
        <v>/subscribe/, /account/</v>
      </c>
      <c r="F87" t="str">
        <v>Desktop</v>
      </c>
      <c r="G87" t="str">
        <v>P0</v>
      </c>
      <c r="H87" t="str">
        <v>P5-07</v>
      </c>
      <c r="I87" t="str">
        <v>Not Run</v>
      </c>
    </row>
    <row r="88">
      <c r="A88" t="str">
        <v>QA-057</v>
      </c>
      <c r="B88" t="str">
        <v>Subscription Functionality</v>
      </c>
      <c r="C88" t="str">
        <v>Expiry</v>
      </c>
      <c r="D88" t="str">
        <v>Expired subscription loses access after grace period</v>
      </c>
      <c r="E88" t="str">
        <v>/subscribe/, /account/</v>
      </c>
      <c r="F88" t="str">
        <v>Desktop</v>
      </c>
      <c r="G88" t="str">
        <v>P0</v>
      </c>
      <c r="H88" t="str">
        <v>P5-07</v>
      </c>
      <c r="I88" t="str">
        <v>Not Run</v>
      </c>
    </row>
    <row r="89">
      <c r="A89" t="str">
        <v>QA-058</v>
      </c>
      <c r="B89" t="str">
        <v>Subscription Functionality</v>
      </c>
      <c r="C89" t="str">
        <v>Renewal reminder</v>
      </c>
      <c r="D89" t="str">
        <v>Reminder email sent before expiry</v>
      </c>
      <c r="E89" t="str">
        <v>/subscribe/, /account/</v>
      </c>
      <c r="F89" t="str">
        <v>Desktop</v>
      </c>
      <c r="G89" t="str">
        <v>P0</v>
      </c>
      <c r="H89" t="str">
        <v>P5-07</v>
      </c>
      <c r="I89" t="str">
        <v>Not Run</v>
      </c>
    </row>
    <row r="90">
      <c r="A90" t="str">
        <v>QA-059</v>
      </c>
      <c r="B90" t="str">
        <v>Subscription Functionality</v>
      </c>
      <c r="C90" t="str">
        <v>Pricing page</v>
      </c>
      <c r="D90" t="str">
        <v>Tiers and prices match admin config</v>
      </c>
      <c r="E90" t="str">
        <v>/subscribe/, /account/</v>
      </c>
      <c r="F90" t="str">
        <v>Desktop</v>
      </c>
      <c r="G90" t="str">
        <v>P0</v>
      </c>
      <c r="H90" t="str">
        <v>P5-07</v>
      </c>
      <c r="I90" t="str">
        <v>Not Run</v>
      </c>
    </row>
    <row r="91">
      <c r="A91" t="str">
        <v>QA-060</v>
      </c>
      <c r="B91" t="str">
        <v>Payment Workflows</v>
      </c>
      <c r="C91" t="str">
        <v>Successful payment (sandbox)</v>
      </c>
      <c r="D91" t="str">
        <v>Order recorded, tier activated, receipt emailed</v>
      </c>
      <c r="E91" t="str">
        <v>/checkout/</v>
      </c>
      <c r="F91" t="str">
        <v>Desktop</v>
      </c>
      <c r="G91" t="str">
        <v>P0</v>
      </c>
      <c r="H91" t="str">
        <v>P5-09</v>
      </c>
      <c r="I91" t="str">
        <v>Not Run</v>
      </c>
    </row>
    <row r="92">
      <c r="A92" t="str">
        <v>QA-061</v>
      </c>
      <c r="B92" t="str">
        <v>Payment Workflows</v>
      </c>
      <c r="C92" t="str">
        <v>Declined payment</v>
      </c>
      <c r="D92" t="str">
        <v>Clear error, no activation</v>
      </c>
      <c r="E92" t="str">
        <v>/checkout/</v>
      </c>
      <c r="F92" t="str">
        <v>Desktop</v>
      </c>
      <c r="G92" t="str">
        <v>P0</v>
      </c>
      <c r="H92" t="str">
        <v>P5-09</v>
      </c>
      <c r="I92" t="str">
        <v>Not Run</v>
      </c>
    </row>
    <row r="93">
      <c r="A93" t="str">
        <v>QA-062</v>
      </c>
      <c r="B93" t="str">
        <v>Payment Workflows</v>
      </c>
      <c r="C93" t="str">
        <v>Cancelled checkout</v>
      </c>
      <c r="D93" t="str">
        <v>Returns to site, no activation</v>
      </c>
      <c r="E93" t="str">
        <v>/checkout/</v>
      </c>
      <c r="F93" t="str">
        <v>Desktop</v>
      </c>
      <c r="G93" t="str">
        <v>P0</v>
      </c>
      <c r="H93" t="str">
        <v>P5-09</v>
      </c>
      <c r="I93" t="str">
        <v>Not Run</v>
      </c>
    </row>
    <row r="94">
      <c r="A94" t="str">
        <v>QA-063</v>
      </c>
      <c r="B94" t="str">
        <v>Payment Workflows</v>
      </c>
      <c r="C94" t="str">
        <v>Webhook signature invalid</v>
      </c>
      <c r="D94" t="str">
        <v>Request rejected and logged</v>
      </c>
      <c r="E94" t="str">
        <v>/checkout/</v>
      </c>
      <c r="F94" t="str">
        <v>Desktop</v>
      </c>
      <c r="G94" t="str">
        <v>P0</v>
      </c>
      <c r="H94" t="str">
        <v>P5-09</v>
      </c>
      <c r="I94" t="str">
        <v>Not Run</v>
      </c>
    </row>
    <row r="95">
      <c r="A95" t="str">
        <v>QA-064</v>
      </c>
      <c r="B95" t="str">
        <v>Payment Workflows</v>
      </c>
      <c r="C95" t="str">
        <v>Duplicate webhook</v>
      </c>
      <c r="D95" t="str">
        <v>Processed once (idempotent)</v>
      </c>
      <c r="E95" t="str">
        <v>/checkout/</v>
      </c>
      <c r="F95" t="str">
        <v>Desktop</v>
      </c>
      <c r="G95" t="str">
        <v>P0</v>
      </c>
      <c r="H95" t="str">
        <v>P5-09</v>
      </c>
      <c r="I95" t="str">
        <v>Not Run</v>
      </c>
    </row>
    <row r="96">
      <c r="A96" t="str">
        <v>QA-065</v>
      </c>
      <c r="B96" t="str">
        <v>Payment Workflows</v>
      </c>
      <c r="C96" t="str">
        <v>Refund event</v>
      </c>
      <c r="D96" t="str">
        <v>Access revoked/adjusted</v>
      </c>
      <c r="E96" t="str">
        <v>/checkout/</v>
      </c>
      <c r="F96" t="str">
        <v>Desktop</v>
      </c>
      <c r="G96" t="str">
        <v>P0</v>
      </c>
      <c r="H96" t="str">
        <v>P5-09</v>
      </c>
      <c r="I96" t="str">
        <v>Not Run</v>
      </c>
    </row>
    <row r="97">
      <c r="A97" t="str">
        <v>QA-066</v>
      </c>
      <c r="B97" t="str">
        <v>Payment Workflows</v>
      </c>
      <c r="C97" t="str">
        <v>Live mode smoke test</v>
      </c>
      <c r="D97" t="str">
        <v>One real low-value transaction succeeds post-cutover</v>
      </c>
      <c r="E97" t="str">
        <v>/checkout/</v>
      </c>
      <c r="F97" t="str">
        <v>Desktop</v>
      </c>
      <c r="G97" t="str">
        <v>P0</v>
      </c>
      <c r="H97" t="str">
        <v>P5-09</v>
      </c>
      <c r="I97" t="str">
        <v>Not Run</v>
      </c>
    </row>
    <row r="98">
      <c r="A98" t="str">
        <v>QA-067</v>
      </c>
      <c r="B98" t="str">
        <v>SEO Metadata</v>
      </c>
      <c r="C98" t="str">
        <v>Title tags</v>
      </c>
      <c r="D98" t="str">
        <v>Match baseline or approved improvements</v>
      </c>
      <c r="E98" t="str">
        <v>All</v>
      </c>
      <c r="F98" t="str">
        <v>Crawler</v>
      </c>
      <c r="G98" t="str">
        <v>P0</v>
      </c>
      <c r="H98" t="str">
        <v>P6-09</v>
      </c>
      <c r="I98" t="str">
        <v>Not Run</v>
      </c>
    </row>
    <row r="99">
      <c r="A99" t="str">
        <v>QA-068</v>
      </c>
      <c r="B99" t="str">
        <v>SEO Metadata</v>
      </c>
      <c r="C99" t="str">
        <v>Meta descriptions</v>
      </c>
      <c r="D99" t="str">
        <v>Present and match baseline</v>
      </c>
      <c r="E99" t="str">
        <v>All</v>
      </c>
      <c r="F99" t="str">
        <v>Crawler</v>
      </c>
      <c r="G99" t="str">
        <v>P0</v>
      </c>
      <c r="H99" t="str">
        <v>P6-09</v>
      </c>
      <c r="I99" t="str">
        <v>Not Run</v>
      </c>
    </row>
    <row r="100">
      <c r="A100" t="str">
        <v>QA-069</v>
      </c>
      <c r="B100" t="str">
        <v>SEO Metadata</v>
      </c>
      <c r="C100" t="str">
        <v>Canonical URLs</v>
      </c>
      <c r="D100" t="str">
        <v>Self-referencing, correct domain</v>
      </c>
      <c r="E100" t="str">
        <v>All</v>
      </c>
      <c r="F100" t="str">
        <v>Crawler</v>
      </c>
      <c r="G100" t="str">
        <v>P0</v>
      </c>
      <c r="H100" t="str">
        <v>P6-09</v>
      </c>
      <c r="I100" t="str">
        <v>Not Run</v>
      </c>
    </row>
    <row r="101">
      <c r="A101" t="str">
        <v>QA-070</v>
      </c>
      <c r="B101" t="str">
        <v>SEO Metadata</v>
      </c>
      <c r="C101" t="str">
        <v>Open Graph / Twitter cards</v>
      </c>
      <c r="D101" t="str">
        <v>Image, title, description correct when shared</v>
      </c>
      <c r="E101" t="str">
        <v>All</v>
      </c>
      <c r="F101" t="str">
        <v>Crawler</v>
      </c>
      <c r="G101" t="str">
        <v>P0</v>
      </c>
      <c r="H101" t="str">
        <v>P6-09</v>
      </c>
      <c r="I101" t="str">
        <v>Not Run</v>
      </c>
    </row>
    <row r="102">
      <c r="A102" t="str">
        <v>QA-071</v>
      </c>
      <c r="B102" t="str">
        <v>SEO Metadata</v>
      </c>
      <c r="C102" t="str">
        <v>Structured data</v>
      </c>
      <c r="D102" t="str">
        <v>NewsArticle valid in Rich Results Test</v>
      </c>
      <c r="E102" t="str">
        <v>All</v>
      </c>
      <c r="F102" t="str">
        <v>Crawler</v>
      </c>
      <c r="G102" t="str">
        <v>P0</v>
      </c>
      <c r="H102" t="str">
        <v>P6-09</v>
      </c>
      <c r="I102" t="str">
        <v>Not Run</v>
      </c>
    </row>
    <row r="103">
      <c r="A103" t="str">
        <v>QA-072</v>
      </c>
      <c r="B103" t="str">
        <v>SEO Metadata</v>
      </c>
      <c r="C103" t="str">
        <v>XML sitemaps</v>
      </c>
      <c r="D103" t="str">
        <v>Include posts, categories, issues; exclude private pages</v>
      </c>
      <c r="E103" t="str">
        <v>All</v>
      </c>
      <c r="F103" t="str">
        <v>Crawler</v>
      </c>
      <c r="G103" t="str">
        <v>P0</v>
      </c>
      <c r="H103" t="str">
        <v>P6-09</v>
      </c>
      <c r="I103" t="str">
        <v>Not Run</v>
      </c>
    </row>
    <row r="104">
      <c r="A104" t="str">
        <v>QA-073</v>
      </c>
      <c r="B104" t="str">
        <v>SEO Metadata</v>
      </c>
      <c r="C104" t="str">
        <v>Robots / noindex</v>
      </c>
      <c r="D104" t="str">
        <v>Production indexable; staging noindex removed only on production</v>
      </c>
      <c r="E104" t="str">
        <v>All</v>
      </c>
      <c r="F104" t="str">
        <v>Crawler</v>
      </c>
      <c r="G104" t="str">
        <v>P0</v>
      </c>
      <c r="H104" t="str">
        <v>P6-09</v>
      </c>
      <c r="I104" t="str">
        <v>Not Run</v>
      </c>
    </row>
    <row r="105">
      <c r="A105" t="str">
        <v>QA-074</v>
      </c>
      <c r="B105" t="str">
        <v>SEO Metadata</v>
      </c>
      <c r="C105" t="str">
        <v>Breadcrumbs</v>
      </c>
      <c r="D105" t="str">
        <v>Correct hierarchy and schema</v>
      </c>
      <c r="E105" t="str">
        <v>All</v>
      </c>
      <c r="F105" t="str">
        <v>Crawler</v>
      </c>
      <c r="G105" t="str">
        <v>P0</v>
      </c>
      <c r="H105" t="str">
        <v>P6-09</v>
      </c>
      <c r="I105" t="str">
        <v>Not Run</v>
      </c>
    </row>
    <row r="106">
      <c r="A106" t="str">
        <v>QA-075</v>
      </c>
      <c r="B106" t="str">
        <v>Existing Article URLs</v>
      </c>
      <c r="C106" t="str">
        <v>All 2,645 article URLs</v>
      </c>
      <c r="D106" t="str">
        <v>200 status, same permalink as production</v>
      </c>
      <c r="E106" t="str">
        <v>url-inventory.csv</v>
      </c>
      <c r="F106" t="str">
        <v>Crawler</v>
      </c>
      <c r="G106" t="str">
        <v>P0</v>
      </c>
      <c r="H106" t="str">
        <v>P6-08</v>
      </c>
      <c r="I106" t="str">
        <v>Not Run</v>
      </c>
    </row>
    <row r="107">
      <c r="A107" t="str">
        <v>QA-076</v>
      </c>
      <c r="B107" t="str">
        <v>Existing Article URLs</v>
      </c>
      <c r="C107" t="str">
        <v>Category &amp; tag URLs</v>
      </c>
      <c r="D107" t="str">
        <v>200 status, same slugs</v>
      </c>
      <c r="E107" t="str">
        <v>url-inventory.csv</v>
      </c>
      <c r="F107" t="str">
        <v>Crawler</v>
      </c>
      <c r="G107" t="str">
        <v>P0</v>
      </c>
      <c r="H107" t="str">
        <v>P6-08</v>
      </c>
      <c r="I107" t="str">
        <v>Not Run</v>
      </c>
    </row>
    <row r="108">
      <c r="A108" t="str">
        <v>QA-077</v>
      </c>
      <c r="B108" t="str">
        <v>Existing Article URLs</v>
      </c>
      <c r="C108" t="str">
        <v>Author URLs</v>
      </c>
      <c r="D108" t="str">
        <v>200 status</v>
      </c>
      <c r="E108" t="str">
        <v>url-inventory.csv</v>
      </c>
      <c r="F108" t="str">
        <v>Crawler</v>
      </c>
      <c r="G108" t="str">
        <v>P0</v>
      </c>
      <c r="H108" t="str">
        <v>P6-08</v>
      </c>
      <c r="I108" t="str">
        <v>Not Run</v>
      </c>
    </row>
    <row r="109">
      <c r="A109" t="str">
        <v>QA-078</v>
      </c>
      <c r="B109" t="str">
        <v>Existing Article URLs</v>
      </c>
      <c r="C109" t="str">
        <v>Changed URLs</v>
      </c>
      <c r="D109" t="str">
        <v>301 to correct target, no chains</v>
      </c>
      <c r="E109" t="str">
        <v>url-inventory.csv</v>
      </c>
      <c r="F109" t="str">
        <v>Crawler</v>
      </c>
      <c r="G109" t="str">
        <v>P0</v>
      </c>
      <c r="H109" t="str">
        <v>P6-08</v>
      </c>
      <c r="I109" t="str">
        <v>Not Run</v>
      </c>
    </row>
    <row r="110">
      <c r="A110" t="str">
        <v>QA-079</v>
      </c>
      <c r="B110" t="str">
        <v>Existing Article URLs</v>
      </c>
      <c r="C110" t="str">
        <v>Internal links</v>
      </c>
      <c r="D110" t="str">
        <v>No links to 404 pages</v>
      </c>
      <c r="E110" t="str">
        <v>url-inventory.csv</v>
      </c>
      <c r="F110" t="str">
        <v>Crawler</v>
      </c>
      <c r="G110" t="str">
        <v>P0</v>
      </c>
      <c r="H110" t="str">
        <v>P6-08</v>
      </c>
      <c r="I110" t="str">
        <v>Not Run</v>
      </c>
    </row>
    <row r="111">
      <c r="A111" t="str">
        <v>QA-080</v>
      </c>
      <c r="B111" t="str">
        <v>Performance</v>
      </c>
      <c r="C111" t="str">
        <v>Homepage LCP (mobile)</v>
      </c>
      <c r="D111" t="str">
        <v>&lt; 2.5 s</v>
      </c>
      <c r="E111" t="str">
        <v>/, article, category, issue</v>
      </c>
      <c r="F111" t="str">
        <v>PageSpeed Insights mobile</v>
      </c>
      <c r="G111" t="str">
        <v>P0</v>
      </c>
      <c r="H111" t="str">
        <v>P6-11</v>
      </c>
      <c r="I111" t="str">
        <v>Not Run</v>
      </c>
    </row>
    <row r="112">
      <c r="A112" t="str">
        <v>QA-081</v>
      </c>
      <c r="B112" t="str">
        <v>Performance</v>
      </c>
      <c r="C112" t="str">
        <v>Article LCP (mobile)</v>
      </c>
      <c r="D112" t="str">
        <v>&lt; 2.5 s</v>
      </c>
      <c r="E112" t="str">
        <v>/, article, category, issue</v>
      </c>
      <c r="F112" t="str">
        <v>PageSpeed Insights mobile</v>
      </c>
      <c r="G112" t="str">
        <v>P0</v>
      </c>
      <c r="H112" t="str">
        <v>P6-11</v>
      </c>
      <c r="I112" t="str">
        <v>Not Run</v>
      </c>
    </row>
    <row r="113">
      <c r="A113" t="str">
        <v>QA-082</v>
      </c>
      <c r="B113" t="str">
        <v>Performance</v>
      </c>
      <c r="C113" t="str">
        <v>CLS all templates</v>
      </c>
      <c r="D113" t="str">
        <v>&lt; 0.1</v>
      </c>
      <c r="E113" t="str">
        <v>/, article, category, issue</v>
      </c>
      <c r="F113" t="str">
        <v>PageSpeed Insights mobile</v>
      </c>
      <c r="G113" t="str">
        <v>P0</v>
      </c>
      <c r="H113" t="str">
        <v>P6-11</v>
      </c>
      <c r="I113" t="str">
        <v>Not Run</v>
      </c>
    </row>
    <row r="114">
      <c r="A114" t="str">
        <v>QA-083</v>
      </c>
      <c r="B114" t="str">
        <v>Performance</v>
      </c>
      <c r="C114" t="str">
        <v>INP</v>
      </c>
      <c r="D114" t="str">
        <v>&lt; 200 ms</v>
      </c>
      <c r="E114" t="str">
        <v>/, article, category, issue</v>
      </c>
      <c r="F114" t="str">
        <v>PageSpeed Insights mobile</v>
      </c>
      <c r="G114" t="str">
        <v>P0</v>
      </c>
      <c r="H114" t="str">
        <v>P6-11</v>
      </c>
      <c r="I114" t="str">
        <v>Not Run</v>
      </c>
    </row>
    <row r="115">
      <c r="A115" t="str">
        <v>QA-084</v>
      </c>
      <c r="B115" t="str">
        <v>Performance</v>
      </c>
      <c r="C115" t="str">
        <v>Homepage DB queries (warm cache)</v>
      </c>
      <c r="D115" t="str">
        <v>≤ 40 queries</v>
      </c>
      <c r="E115" t="str">
        <v>/, article, category, issue</v>
      </c>
      <c r="F115" t="str">
        <v>PageSpeed Insights mobile</v>
      </c>
      <c r="G115" t="str">
        <v>P0</v>
      </c>
      <c r="H115" t="str">
        <v>P6-11</v>
      </c>
      <c r="I115" t="str">
        <v>Not Run</v>
      </c>
    </row>
    <row r="116">
      <c r="A116" t="str">
        <v>QA-085</v>
      </c>
      <c r="B116" t="str">
        <v>Performance</v>
      </c>
      <c r="C116" t="str">
        <v>LiteSpeed page cache</v>
      </c>
      <c r="D116" t="str">
        <v>Guest pages served from cache; private pages not cached</v>
      </c>
      <c r="E116" t="str">
        <v>/, article, category, issue</v>
      </c>
      <c r="F116" t="str">
        <v>PageSpeed Insights mobile</v>
      </c>
      <c r="G116" t="str">
        <v>P0</v>
      </c>
      <c r="H116" t="str">
        <v>P6-11</v>
      </c>
      <c r="I116" t="str">
        <v>Not Run</v>
      </c>
    </row>
    <row r="117">
      <c r="A117" t="str">
        <v>QA-086</v>
      </c>
      <c r="B117" t="str">
        <v>Security</v>
      </c>
      <c r="C117" t="str">
        <v>Security headers</v>
      </c>
      <c r="D117" t="str">
        <v>HSTS, X-Content-Type-Options, Referrer-Policy, frame options present</v>
      </c>
      <c r="E117" t="str">
        <v>All</v>
      </c>
      <c r="F117" t="str">
        <v>Desktop</v>
      </c>
      <c r="G117" t="str">
        <v>P0</v>
      </c>
      <c r="H117" t="str">
        <v>P6-15</v>
      </c>
      <c r="I117" t="str">
        <v>Not Run</v>
      </c>
    </row>
    <row r="118">
      <c r="A118" t="str">
        <v>QA-087</v>
      </c>
      <c r="B118" t="str">
        <v>Security</v>
      </c>
      <c r="C118" t="str">
        <v>File editing disabled</v>
      </c>
      <c r="D118" t="str">
        <v>DISALLOW_FILE_EDIT true</v>
      </c>
      <c r="E118" t="str">
        <v>All</v>
      </c>
      <c r="F118" t="str">
        <v>Desktop</v>
      </c>
      <c r="G118" t="str">
        <v>P0</v>
      </c>
      <c r="H118" t="str">
        <v>P6-15</v>
      </c>
      <c r="I118" t="str">
        <v>Not Run</v>
      </c>
    </row>
    <row r="119">
      <c r="A119" t="str">
        <v>QA-088</v>
      </c>
      <c r="B119" t="str">
        <v>Security</v>
      </c>
      <c r="C119" t="str">
        <v>XML-RPC</v>
      </c>
      <c r="D119" t="str">
        <v>Disabled or restricted</v>
      </c>
      <c r="E119" t="str">
        <v>All</v>
      </c>
      <c r="F119" t="str">
        <v>Desktop</v>
      </c>
      <c r="G119" t="str">
        <v>P0</v>
      </c>
      <c r="H119" t="str">
        <v>P6-15</v>
      </c>
      <c r="I119" t="str">
        <v>Not Run</v>
      </c>
    </row>
    <row r="120">
      <c r="A120" t="str">
        <v>QA-089</v>
      </c>
      <c r="B120" t="str">
        <v>Security</v>
      </c>
      <c r="C120" t="str">
        <v>REST user enumeration</v>
      </c>
      <c r="D120" t="str">
        <v>/wp-json/wp/v2/users not exposing usernames publicly</v>
      </c>
      <c r="E120" t="str">
        <v>All</v>
      </c>
      <c r="F120" t="str">
        <v>Desktop</v>
      </c>
      <c r="G120" t="str">
        <v>P0</v>
      </c>
      <c r="H120" t="str">
        <v>P6-15</v>
      </c>
      <c r="I120" t="str">
        <v>Not Run</v>
      </c>
    </row>
    <row r="121">
      <c r="A121" t="str">
        <v>QA-090</v>
      </c>
      <c r="B121" t="str">
        <v>Security</v>
      </c>
      <c r="C121" t="str">
        <v>Form CSRF</v>
      </c>
      <c r="D121" t="str">
        <v>All forms reject missing/invalid nonce</v>
      </c>
      <c r="E121" t="str">
        <v>All</v>
      </c>
      <c r="F121" t="str">
        <v>Desktop</v>
      </c>
      <c r="G121" t="str">
        <v>P0</v>
      </c>
      <c r="H121" t="str">
        <v>P6-15</v>
      </c>
      <c r="I121" t="str">
        <v>Not Run</v>
      </c>
    </row>
    <row r="122">
      <c r="A122" t="str">
        <v>QA-091</v>
      </c>
      <c r="B122" t="str">
        <v>Security</v>
      </c>
      <c r="C122" t="str">
        <v>Output escaping</v>
      </c>
      <c r="D122" t="str">
        <v>No XSS with test payloads in search, forms</v>
      </c>
      <c r="E122" t="str">
        <v>All</v>
      </c>
      <c r="F122" t="str">
        <v>Desktop</v>
      </c>
      <c r="G122" t="str">
        <v>P0</v>
      </c>
      <c r="H122" t="str">
        <v>P6-15</v>
      </c>
      <c r="I122" t="str">
        <v>Not Run</v>
      </c>
    </row>
    <row r="123">
      <c r="A123" t="str">
        <v>QA-092</v>
      </c>
      <c r="B123" t="str">
        <v>Security</v>
      </c>
      <c r="C123" t="str">
        <v>Protected PDFs</v>
      </c>
      <c r="D123" t="str">
        <v>Direct URL blocked for unentitled users</v>
      </c>
      <c r="E123" t="str">
        <v>All</v>
      </c>
      <c r="F123" t="str">
        <v>Desktop</v>
      </c>
      <c r="G123" t="str">
        <v>P0</v>
      </c>
      <c r="H123" t="str">
        <v>P6-15</v>
      </c>
      <c r="I123" t="str">
        <v>Not Run</v>
      </c>
    </row>
    <row r="124">
      <c r="A124" t="str">
        <v>QA-093</v>
      </c>
      <c r="B124" t="str">
        <v>Security</v>
      </c>
      <c r="C124" t="str">
        <v>Admin accounts</v>
      </c>
      <c r="D124" t="str">
        <v>Only required admins; strong passwords; 2FA where possible</v>
      </c>
      <c r="E124" t="str">
        <v>All</v>
      </c>
      <c r="F124" t="str">
        <v>Desktop</v>
      </c>
      <c r="G124" t="str">
        <v>P0</v>
      </c>
      <c r="H124" t="str">
        <v>P6-15</v>
      </c>
      <c r="I124" t="str">
        <v>Not Run</v>
      </c>
    </row>
    <row r="125">
      <c r="A125" t="str">
        <v>QA-094</v>
      </c>
      <c r="B125" t="str">
        <v>Contact Forms</v>
      </c>
      <c r="C125" t="str">
        <v>Contact form valid submit</v>
      </c>
      <c r="D125" t="str">
        <v>Stored + email received</v>
      </c>
      <c r="E125" t="str">
        <v>/contact/, /advertise/</v>
      </c>
      <c r="F125" t="str">
        <v>Desktop + Mobile</v>
      </c>
      <c r="G125" t="str">
        <v>P0</v>
      </c>
      <c r="H125" t="str">
        <v>P5-17</v>
      </c>
      <c r="I125" t="str">
        <v>Not Run</v>
      </c>
    </row>
    <row r="126">
      <c r="A126" t="str">
        <v>QA-095</v>
      </c>
      <c r="B126" t="str">
        <v>Contact Forms</v>
      </c>
      <c r="C126" t="str">
        <v>Validation errors</v>
      </c>
      <c r="D126" t="str">
        <v>Arabic messages; data preserved</v>
      </c>
      <c r="E126" t="str">
        <v>/contact/, /advertise/</v>
      </c>
      <c r="F126" t="str">
        <v>Desktop + Mobile</v>
      </c>
      <c r="G126" t="str">
        <v>P0</v>
      </c>
      <c r="H126" t="str">
        <v>P5-17</v>
      </c>
      <c r="I126" t="str">
        <v>Not Run</v>
      </c>
    </row>
    <row r="127">
      <c r="A127" t="str">
        <v>QA-096</v>
      </c>
      <c r="B127" t="str">
        <v>Contact Forms</v>
      </c>
      <c r="C127" t="str">
        <v>Spam submission</v>
      </c>
      <c r="D127" t="str">
        <v>Blocked by honeypot/CAPTCHA</v>
      </c>
      <c r="E127" t="str">
        <v>/contact/, /advertise/</v>
      </c>
      <c r="F127" t="str">
        <v>Desktop + Mobile</v>
      </c>
      <c r="G127" t="str">
        <v>P0</v>
      </c>
      <c r="H127" t="str">
        <v>P5-17</v>
      </c>
      <c r="I127" t="str">
        <v>Not Run</v>
      </c>
    </row>
    <row r="128">
      <c r="A128" t="str">
        <v>QA-097</v>
      </c>
      <c r="B128" t="str">
        <v>Contact Forms</v>
      </c>
      <c r="C128" t="str">
        <v>Advertising lead form</v>
      </c>
      <c r="D128" t="str">
        <v>Stored in leads, notification sent</v>
      </c>
      <c r="E128" t="str">
        <v>/contact/, /advertise/</v>
      </c>
      <c r="F128" t="str">
        <v>Desktop + Mobile</v>
      </c>
      <c r="G128" t="str">
        <v>P0</v>
      </c>
      <c r="H128" t="str">
        <v>P5-17</v>
      </c>
      <c r="I128" t="str">
        <v>Not Run</v>
      </c>
    </row>
    <row r="129">
      <c r="A129" t="str">
        <v>QA-098</v>
      </c>
      <c r="B129" t="str">
        <v>Contact Forms</v>
      </c>
      <c r="C129" t="str">
        <v>Lead CSV export</v>
      </c>
      <c r="D129" t="str">
        <v>Export opens with Arabic text intact (UTF-8)</v>
      </c>
      <c r="E129" t="str">
        <v>/contact/, /advertise/</v>
      </c>
      <c r="F129" t="str">
        <v>Desktop + Mobile</v>
      </c>
      <c r="G129" t="str">
        <v>P0</v>
      </c>
      <c r="H129" t="str">
        <v>P5-17</v>
      </c>
      <c r="I129" t="str">
        <v>Not Run</v>
      </c>
    </row>
    <row r="130">
      <c r="A130" t="str">
        <v>QA-099</v>
      </c>
      <c r="B130" t="str">
        <v>Magazine PDFs</v>
      </c>
      <c r="C130" t="str">
        <v>48 issues present</v>
      </c>
      <c r="D130" t="str">
        <v>48/48 in archive</v>
      </c>
      <c r="E130" t="str">
        <v>/issues/</v>
      </c>
      <c r="F130" t="str">
        <v>Desktop + Mobile</v>
      </c>
      <c r="G130" t="str">
        <v>P0</v>
      </c>
      <c r="H130" t="str">
        <v>P4-12</v>
      </c>
      <c r="I130" t="str">
        <v>Not Run</v>
      </c>
    </row>
    <row r="131">
      <c r="A131" t="str">
        <v>QA-100</v>
      </c>
      <c r="B131" t="str">
        <v>Magazine PDFs</v>
      </c>
      <c r="C131" t="str">
        <v>Every PDF opens</v>
      </c>
      <c r="D131" t="str">
        <v>No broken/corrupt files</v>
      </c>
      <c r="E131" t="str">
        <v>/issues/</v>
      </c>
      <c r="F131" t="str">
        <v>Desktop + Mobile</v>
      </c>
      <c r="G131" t="str">
        <v>P0</v>
      </c>
      <c r="H131" t="str">
        <v>P4-12</v>
      </c>
      <c r="I131" t="str">
        <v>Not Run</v>
      </c>
    </row>
    <row r="132">
      <c r="A132" t="str">
        <v>QA-101</v>
      </c>
      <c r="B132" t="str">
        <v>Magazine PDFs</v>
      </c>
      <c r="C132" t="str">
        <v>Flipbook load</v>
      </c>
      <c r="D132" t="str">
        <v>First page &lt; 3 s on 4G</v>
      </c>
      <c r="E132" t="str">
        <v>/issues/</v>
      </c>
      <c r="F132" t="str">
        <v>Desktop + Mobile</v>
      </c>
      <c r="G132" t="str">
        <v>P0</v>
      </c>
      <c r="H132" t="str">
        <v>P4-12</v>
      </c>
      <c r="I132" t="str">
        <v>Not Run</v>
      </c>
    </row>
    <row r="133">
      <c r="A133" t="str">
        <v>QA-102</v>
      </c>
      <c r="B133" t="str">
        <v>Magazine PDFs</v>
      </c>
      <c r="C133" t="str">
        <v>Download filenames</v>
      </c>
      <c r="D133" t="str">
        <v>Meaningful names, correct headers</v>
      </c>
      <c r="E133" t="str">
        <v>/issues/</v>
      </c>
      <c r="F133" t="str">
        <v>Desktop + Mobile</v>
      </c>
      <c r="G133" t="str">
        <v>P0</v>
      </c>
      <c r="H133" t="str">
        <v>P4-12</v>
      </c>
      <c r="I133" t="str">
        <v>Not Run</v>
      </c>
    </row>
    <row r="134">
      <c r="A134" t="str">
        <v>QA-103</v>
      </c>
      <c r="B134" t="str">
        <v>Magazine PDFs</v>
      </c>
      <c r="C134" t="str">
        <v>Access restriction</v>
      </c>
      <c r="D134" t="str">
        <v>Gated issues blocked for guests</v>
      </c>
      <c r="E134" t="str">
        <v>/issues/</v>
      </c>
      <c r="F134" t="str">
        <v>Desktop + Mobile</v>
      </c>
      <c r="G134" t="str">
        <v>P0</v>
      </c>
      <c r="H134" t="str">
        <v>P4-12</v>
      </c>
      <c r="I134" t="str">
        <v>Not Run</v>
      </c>
    </row>
    <row r="135">
      <c r="A135" t="str">
        <v>QA-104</v>
      </c>
      <c r="B135" t="str">
        <v>Magazine PDFs</v>
      </c>
      <c r="C135" t="str">
        <v>Year/decade filters</v>
      </c>
      <c r="D135" t="str">
        <v>Counts match manifest</v>
      </c>
      <c r="E135" t="str">
        <v>/issues/</v>
      </c>
      <c r="F135" t="str">
        <v>Desktop + Mobile</v>
      </c>
      <c r="G135" t="str">
        <v>P0</v>
      </c>
      <c r="H135" t="str">
        <v>P4-12</v>
      </c>
      <c r="I135" t="str">
        <v>Not Run</v>
      </c>
    </row>
    <row r="136">
      <c r="A136" t="str">
        <v>QA-105</v>
      </c>
      <c r="B136" t="str">
        <v>Browser Compatibility</v>
      </c>
      <c r="C136" t="str">
        <v>Core journeys in Chrome (latest, Windows/macOS)</v>
      </c>
      <c r="D136" t="str">
        <v>Homepage, article, archive, issue reader, login and checkout work without visual/functional defects</v>
      </c>
      <c r="E136" t="str">
        <v>All</v>
      </c>
      <c r="F136" t="str">
        <v>Chrome (latest, Windows/macOS)</v>
      </c>
      <c r="G136" t="str">
        <v>P0</v>
      </c>
      <c r="H136" t="str">
        <v>P6-14</v>
      </c>
      <c r="I136" t="str">
        <v>Not Run</v>
      </c>
    </row>
    <row r="137">
      <c r="A137" t="str">
        <v>QA-106</v>
      </c>
      <c r="B137" t="str">
        <v>Browser Compatibility</v>
      </c>
      <c r="C137" t="str">
        <v>Core journeys in Safari (macOS)</v>
      </c>
      <c r="D137" t="str">
        <v>Homepage, article, archive, issue reader, login and checkout work without visual/functional defects</v>
      </c>
      <c r="E137" t="str">
        <v>All</v>
      </c>
      <c r="F137" t="str">
        <v>Safari (macOS)</v>
      </c>
      <c r="G137" t="str">
        <v>P0</v>
      </c>
      <c r="H137" t="str">
        <v>P6-14</v>
      </c>
      <c r="I137" t="str">
        <v>Not Run</v>
      </c>
    </row>
    <row r="138">
      <c r="A138" t="str">
        <v>QA-107</v>
      </c>
      <c r="B138" t="str">
        <v>Browser Compatibility</v>
      </c>
      <c r="C138" t="str">
        <v>Core journeys in Safari (iOS)</v>
      </c>
      <c r="D138" t="str">
        <v>Homepage, article, archive, issue reader, login and checkout work without visual/functional defects</v>
      </c>
      <c r="E138" t="str">
        <v>All</v>
      </c>
      <c r="F138" t="str">
        <v>Safari (iOS)</v>
      </c>
      <c r="G138" t="str">
        <v>P0</v>
      </c>
      <c r="H138" t="str">
        <v>P6-14</v>
      </c>
      <c r="I138" t="str">
        <v>Not Run</v>
      </c>
    </row>
    <row r="139">
      <c r="A139" t="str">
        <v>QA-108</v>
      </c>
      <c r="B139" t="str">
        <v>Browser Compatibility</v>
      </c>
      <c r="C139" t="str">
        <v>Core journeys in Firefox (latest)</v>
      </c>
      <c r="D139" t="str">
        <v>Homepage, article, archive, issue reader, login and checkout work without visual/functional defects</v>
      </c>
      <c r="E139" t="str">
        <v>All</v>
      </c>
      <c r="F139" t="str">
        <v>Firefox (latest)</v>
      </c>
      <c r="G139" t="str">
        <v>P0</v>
      </c>
      <c r="H139" t="str">
        <v>P6-14</v>
      </c>
      <c r="I139" t="str">
        <v>Not Run</v>
      </c>
    </row>
    <row r="140">
      <c r="A140" t="str">
        <v>QA-109</v>
      </c>
      <c r="B140" t="str">
        <v>Browser Compatibility</v>
      </c>
      <c r="C140" t="str">
        <v>Core journeys in Edge (latest)</v>
      </c>
      <c r="D140" t="str">
        <v>Homepage, article, archive, issue reader, login and checkout work without visual/functional defects</v>
      </c>
      <c r="E140" t="str">
        <v>All</v>
      </c>
      <c r="F140" t="str">
        <v>Edge (latest)</v>
      </c>
      <c r="G140" t="str">
        <v>P0</v>
      </c>
      <c r="H140" t="str">
        <v>P6-14</v>
      </c>
      <c r="I140" t="str">
        <v>Not Run</v>
      </c>
    </row>
    <row r="141">
      <c r="A141" t="str">
        <v>QA-110</v>
      </c>
      <c r="B141" t="str">
        <v>Browser Compatibility</v>
      </c>
      <c r="C141" t="str">
        <v>Core journeys in Samsung Internet (Android)</v>
      </c>
      <c r="D141" t="str">
        <v>Homepage, article, archive, issue reader, login and checkout work without visual/functional defects</v>
      </c>
      <c r="E141" t="str">
        <v>All</v>
      </c>
      <c r="F141" t="str">
        <v>Samsung Internet (Android)</v>
      </c>
      <c r="G141" t="str">
        <v>P0</v>
      </c>
      <c r="H141" t="str">
        <v>P6-14</v>
      </c>
      <c r="I141" t="str">
        <v>Not Run</v>
      </c>
    </row>
  </sheetData>
  <mergeCells count="2">
    <mergeCell ref="A2:K2"/>
    <mergeCell ref="A1:K1"/>
  </mergeCells>
  <hyperlinks>
    <hyperlink ref="A3" location="'Executive Dashboard'!A1"/>
    <hyperlink ref="C3" r:id="rId1"/>
    <hyperlink ref="H32" location="'Master Tracker'!A46"/>
    <hyperlink ref="H33" location="'Master Tracker'!A46"/>
    <hyperlink ref="H34" location="'Master Tracker'!A46"/>
    <hyperlink ref="H35" location="'Master Tracker'!A47"/>
    <hyperlink ref="H36" location="'Master Tracker'!A47"/>
    <hyperlink ref="H37" location="'Master Tracker'!A47"/>
    <hyperlink ref="H38" location="'Master Tracker'!A55"/>
    <hyperlink ref="H39" location="'Master Tracker'!A55"/>
    <hyperlink ref="H40" location="'Master Tracker'!A55"/>
    <hyperlink ref="H41" location="'Master Tracker'!A54"/>
    <hyperlink ref="H42" location="'Master Tracker'!A54"/>
    <hyperlink ref="H43" location="'Master Tracker'!A54"/>
    <hyperlink ref="H44" location="'Master Tracker'!A68"/>
    <hyperlink ref="H45" location="'Master Tracker'!A68"/>
    <hyperlink ref="H46" location="'Master Tracker'!A68"/>
    <hyperlink ref="H47" location="'Master Tracker'!A70"/>
    <hyperlink ref="H48" location="'Master Tracker'!A70"/>
    <hyperlink ref="H49" location="'Master Tracker'!A70"/>
    <hyperlink ref="H50" location="'Master Tracker'!A88"/>
    <hyperlink ref="H51" location="'Master Tracker'!A88"/>
    <hyperlink ref="H52" location="'Master Tracker'!A88"/>
    <hyperlink ref="H53" location="'Master Tracker'!A92"/>
    <hyperlink ref="H54" location="'Master Tracker'!A92"/>
    <hyperlink ref="H55" location="'Master Tracker'!A92"/>
    <hyperlink ref="H56" location="'Master Tracker'!A93"/>
    <hyperlink ref="H57" location="'Master Tracker'!A93"/>
    <hyperlink ref="H58" location="'Master Tracker'!A93"/>
    <hyperlink ref="H59" location="'Master Tracker'!A25"/>
    <hyperlink ref="H60" location="'Master Tracker'!A26"/>
    <hyperlink ref="H61" location="'Master Tracker'!A27"/>
    <hyperlink ref="H62" location="'Master Tracker'!A28"/>
    <hyperlink ref="H63" location="'Master Tracker'!A29"/>
    <hyperlink ref="H64" location="'Master Tracker'!A30"/>
    <hyperlink ref="H65" location="'Master Tracker'!A32"/>
    <hyperlink ref="H66" location="'Master Tracker'!A44"/>
    <hyperlink ref="H67" location="'Master Tracker'!A14"/>
    <hyperlink ref="H68" location="'Master Tracker'!A14"/>
    <hyperlink ref="H69" location="'Master Tracker'!A14"/>
    <hyperlink ref="H70" location="'Master Tracker'!A14"/>
    <hyperlink ref="H71" location="'Master Tracker'!A14"/>
    <hyperlink ref="H72" location="'Master Tracker'!A107"/>
    <hyperlink ref="H73" location="'Master Tracker'!A107"/>
    <hyperlink ref="H74" location="'Master Tracker'!A107"/>
    <hyperlink ref="H75" location="'Master Tracker'!A107"/>
    <hyperlink ref="H76" location="'Master Tracker'!A107"/>
    <hyperlink ref="H77" location="'Master Tracker'!A107"/>
    <hyperlink ref="H78" location="'Master Tracker'!A78"/>
    <hyperlink ref="H79" location="'Master Tracker'!A78"/>
    <hyperlink ref="H80" location="'Master Tracker'!A78"/>
    <hyperlink ref="H81" location="'Master Tracker'!A79"/>
    <hyperlink ref="H82" location="'Master Tracker'!A80"/>
    <hyperlink ref="H83" location="'Master Tracker'!A86"/>
    <hyperlink ref="H84" location="'Master Tracker'!A86"/>
    <hyperlink ref="H85" location="'Master Tracker'!A85"/>
    <hyperlink ref="H86" location="'Master Tracker'!A81"/>
    <hyperlink ref="H87" location="'Master Tracker'!A81"/>
    <hyperlink ref="H88" location="'Master Tracker'!A81"/>
    <hyperlink ref="H89" location="'Master Tracker'!A81"/>
    <hyperlink ref="H90" location="'Master Tracker'!A81"/>
    <hyperlink ref="H91" location="'Master Tracker'!A83"/>
    <hyperlink ref="H92" location="'Master Tracker'!A83"/>
    <hyperlink ref="H93" location="'Master Tracker'!A83"/>
    <hyperlink ref="H94" location="'Master Tracker'!A83"/>
    <hyperlink ref="H95" location="'Master Tracker'!A83"/>
    <hyperlink ref="H96" location="'Master Tracker'!A83"/>
    <hyperlink ref="H97" location="'Master Tracker'!A83"/>
    <hyperlink ref="H98" location="'Master Tracker'!A103"/>
    <hyperlink ref="H99" location="'Master Tracker'!A103"/>
    <hyperlink ref="H100" location="'Master Tracker'!A103"/>
    <hyperlink ref="H101" location="'Master Tracker'!A103"/>
    <hyperlink ref="H102" location="'Master Tracker'!A103"/>
    <hyperlink ref="H103" location="'Master Tracker'!A103"/>
    <hyperlink ref="H104" location="'Master Tracker'!A103"/>
    <hyperlink ref="H105" location="'Master Tracker'!A103"/>
    <hyperlink ref="H106" location="'Master Tracker'!A102"/>
    <hyperlink ref="H107" location="'Master Tracker'!A102"/>
    <hyperlink ref="H108" location="'Master Tracker'!A102"/>
    <hyperlink ref="H109" location="'Master Tracker'!A102"/>
    <hyperlink ref="H110" location="'Master Tracker'!A102"/>
    <hyperlink ref="H111" location="'Master Tracker'!A105"/>
    <hyperlink ref="H112" location="'Master Tracker'!A105"/>
    <hyperlink ref="H113" location="'Master Tracker'!A105"/>
    <hyperlink ref="H114" location="'Master Tracker'!A105"/>
    <hyperlink ref="H115" location="'Master Tracker'!A105"/>
    <hyperlink ref="H116" location="'Master Tracker'!A105"/>
    <hyperlink ref="H117" location="'Master Tracker'!A109"/>
    <hyperlink ref="H118" location="'Master Tracker'!A109"/>
    <hyperlink ref="H119" location="'Master Tracker'!A109"/>
    <hyperlink ref="H120" location="'Master Tracker'!A109"/>
    <hyperlink ref="H121" location="'Master Tracker'!A109"/>
    <hyperlink ref="H122" location="'Master Tracker'!A109"/>
    <hyperlink ref="H123" location="'Master Tracker'!A109"/>
    <hyperlink ref="H124" location="'Master Tracker'!A109"/>
    <hyperlink ref="H125" location="'Master Tracker'!A91"/>
    <hyperlink ref="H126" location="'Master Tracker'!A91"/>
    <hyperlink ref="H127" location="'Master Tracker'!A91"/>
    <hyperlink ref="H128" location="'Master Tracker'!A91"/>
    <hyperlink ref="H129" location="'Master Tracker'!A91"/>
    <hyperlink ref="H130" location="'Master Tracker'!A74"/>
    <hyperlink ref="H131" location="'Master Tracker'!A74"/>
    <hyperlink ref="H132" location="'Master Tracker'!A74"/>
    <hyperlink ref="H133" location="'Master Tracker'!A74"/>
    <hyperlink ref="H134" location="'Master Tracker'!A74"/>
    <hyperlink ref="H135" location="'Master Tracker'!A74"/>
    <hyperlink ref="H136" location="'Master Tracker'!A108"/>
    <hyperlink ref="H137" location="'Master Tracker'!A108"/>
    <hyperlink ref="H138" location="'Master Tracker'!A108"/>
    <hyperlink ref="H139" location="'Master Tracker'!A108"/>
    <hyperlink ref="H140" location="'Master Tracker'!A108"/>
    <hyperlink ref="H141" location="'Master Tracker'!A108"/>
  </hyperlinks>
  <pageMargins left="0.75" right="0.75" top="1" bottom="1" header="0.5" footer="0.5"/>
  <ignoredErrors>
    <ignoredError numberStoredAsText="1" sqref="A1:K141"/>
  </ignoredErrors>
</worksheet>
</file>

<file path=xl/worksheets/sheet10.xml><?xml version="1.0" encoding="utf-8"?>
<worksheet xmlns="http://schemas.openxmlformats.org/spreadsheetml/2006/main" xmlns:r="http://schemas.openxmlformats.org/officeDocument/2006/relationships">
  <dimension ref="A1:J56"/>
  <sheetViews>
    <sheetView workbookViewId="0" rightToLeft="0"/>
  </sheetViews>
  <sheetData>
    <row r="1">
      <c r="A1" t="str">
        <v xml:space="preserve">  DEPLOYMENT &amp; ROLLBACK RUNBOOK  ·  Cutover 1 Nov 2026</v>
      </c>
    </row>
    <row r="2">
      <c r="A2" t="str">
        <v xml:space="preserve">  Production stays untouched until every Stage 1 item is Done and the client has approved deployment.</v>
      </c>
    </row>
    <row r="3">
      <c r="A3" t="str">
        <v>← Dashboard</v>
      </c>
      <c r="C3" t="str">
        <v>Production ↗</v>
      </c>
      <c r="D3" t="str">
        <f>"Readiness: "&amp;TEXT(IFERROR(COUNTIF(G7:G200,"Done")/(COUNTA(C7:C45)-COUNTIF(G7:G200,"N/A")),0),"0%")&amp;"   ·   Failed steps: "&amp;COUNTIF(G7:G200,"Failed")</f>
        <v>Readiness: 0%   ·   Failed steps: 0</v>
      </c>
    </row>
    <row r="6">
      <c r="A6" t="str">
        <v>Step</v>
      </c>
      <c r="B6" t="str">
        <v>Stage</v>
      </c>
      <c r="C6" t="str">
        <v>Action</v>
      </c>
      <c r="D6" t="str">
        <v>Verification</v>
      </c>
      <c r="E6" t="str">
        <v>Tool / Location</v>
      </c>
      <c r="F6" t="str">
        <v>Owner</v>
      </c>
      <c r="G6" t="str">
        <v>Status</v>
      </c>
      <c r="H6" t="str">
        <v>Done At</v>
      </c>
      <c r="I6" t="str">
        <v>Notes</v>
      </c>
    </row>
    <row r="7">
      <c r="A7">
        <v>1</v>
      </c>
      <c r="B7" t="str">
        <v>1. Staging Verification</v>
      </c>
      <c r="C7" t="str">
        <v>All P0 tasks Completed in Master Tracker</v>
      </c>
      <c r="D7" t="str">
        <v>Dashboard shows 0 open P0 tasks and 0 blocked</v>
      </c>
      <c r="E7" t="str">
        <v>Dashboard</v>
      </c>
      <c r="F7" t="str">
        <v>Developer</v>
      </c>
      <c r="G7" t="str">
        <v>Not Started</v>
      </c>
    </row>
    <row r="8">
      <c r="A8">
        <v>2</v>
      </c>
      <c r="B8" t="str">
        <v>1. Staging Verification</v>
      </c>
      <c r="C8" t="str">
        <v>QA &amp; Testing: all P0 cases Pass</v>
      </c>
      <c r="D8" t="str">
        <v>QA summary pass rate for P0 = 100%</v>
      </c>
      <c r="E8" t="str">
        <v>QA sheet</v>
      </c>
      <c r="F8" t="str">
        <v>Developer</v>
      </c>
      <c r="G8" t="str">
        <v>Not Started</v>
      </c>
    </row>
    <row r="9">
      <c r="A9">
        <v>3</v>
      </c>
      <c r="B9" t="str">
        <v>1. Staging Verification</v>
      </c>
      <c r="C9" t="str">
        <v>Client UAT written approval received</v>
      </c>
      <c r="D9" t="str">
        <v>Email/document archived (P6-18)</v>
      </c>
      <c r="E9" t="str">
        <v>Approval email</v>
      </c>
      <c r="F9" t="str">
        <v>Developer</v>
      </c>
      <c r="G9" t="str">
        <v>Not Started</v>
      </c>
    </row>
    <row r="10">
      <c r="A10">
        <v>4</v>
      </c>
      <c r="B10" t="str">
        <v>1. Staging Verification</v>
      </c>
      <c r="C10" t="str">
        <v>Live payment keys &amp; production OAuth redirect URIs confirmed</v>
      </c>
      <c r="D10" t="str">
        <v>Gateway live mode approved; Google/Apple allow production domain</v>
      </c>
      <c r="E10" t="str">
        <v>Provider dashboards</v>
      </c>
      <c r="F10" t="str">
        <v>Developer</v>
      </c>
      <c r="G10" t="str">
        <v>Not Started</v>
      </c>
    </row>
    <row r="11">
      <c r="A11">
        <v>5</v>
      </c>
      <c r="B11" t="str">
        <v>1. Staging Verification</v>
      </c>
      <c r="C11" t="str">
        <v>Announce content freeze window to editors</v>
      </c>
      <c r="D11" t="str">
        <v>Editors confirm no publishing during cutover</v>
      </c>
      <c r="E11" t="str">
        <v>Email</v>
      </c>
      <c r="F11" t="str">
        <v>Developer</v>
      </c>
      <c r="G11" t="str">
        <v>Not Started</v>
      </c>
    </row>
    <row r="12">
      <c r="A12">
        <v>6</v>
      </c>
      <c r="B12" t="str">
        <v>2. Full Backup</v>
      </c>
      <c r="C12" t="str">
        <v>Full production files backup (incl. uploads)</v>
      </c>
      <c r="D12" t="str">
        <v>Archive size &amp; checksum recorded; stored off-server</v>
      </c>
      <c r="E12" t="str">
        <v>hPanel / SSH</v>
      </c>
      <c r="F12" t="str">
        <v>Developer</v>
      </c>
      <c r="G12" t="str">
        <v>Not Started</v>
      </c>
    </row>
    <row r="13">
      <c r="A13">
        <v>7</v>
      </c>
      <c r="B13" t="str">
        <v>2. Full Backup</v>
      </c>
      <c r="C13" t="str">
        <v>Export current theme, plugin list &amp; settings</v>
      </c>
      <c r="D13" t="str">
        <v>JNews theme + plugin versions recorded</v>
      </c>
      <c r="E13" t="str">
        <v>WP admin</v>
      </c>
      <c r="F13" t="str">
        <v>Developer</v>
      </c>
      <c r="G13" t="str">
        <v>Not Started</v>
      </c>
    </row>
    <row r="14">
      <c r="A14">
        <v>8</v>
      </c>
      <c r="B14" t="str">
        <v>2. Full Backup</v>
      </c>
      <c r="C14" t="str">
        <v>Export Customizer/widgets/menus from production</v>
      </c>
      <c r="D14" t="str">
        <v>Export files saved</v>
      </c>
      <c r="E14" t="str">
        <v>WP admin</v>
      </c>
      <c r="F14" t="str">
        <v>Developer</v>
      </c>
      <c r="G14" t="str">
        <v>Not Started</v>
      </c>
    </row>
    <row r="15">
      <c r="A15">
        <v>9</v>
      </c>
      <c r="B15" t="str">
        <v>3. Database Backup</v>
      </c>
      <c r="C15" t="str">
        <v>Full production DB dump</v>
      </c>
      <c r="D15" t="str">
        <v>Dump imports cleanly into scratch DB</v>
      </c>
      <c r="E15" t="str">
        <v>phpMyAdmin / mysqldump</v>
      </c>
      <c r="F15" t="str">
        <v>Developer</v>
      </c>
      <c r="G15" t="str">
        <v>Not Started</v>
      </c>
    </row>
    <row r="16">
      <c r="A16">
        <v>10</v>
      </c>
      <c r="B16" t="str">
        <v>3. Database Backup</v>
      </c>
      <c r="C16" t="str">
        <v>Record row counts (posts 2,645 articles, users, terms)</v>
      </c>
      <c r="D16" t="str">
        <v>Counts saved for post-launch comparison</v>
      </c>
      <c r="E16" t="str">
        <v>SQL</v>
      </c>
      <c r="F16" t="str">
        <v>Developer</v>
      </c>
      <c r="G16" t="str">
        <v>Not Started</v>
      </c>
    </row>
    <row r="17">
      <c r="A17">
        <v>11</v>
      </c>
      <c r="B17" t="str">
        <v>4. SEO Comparison</v>
      </c>
      <c r="C17" t="str">
        <v>Final staging crawl vs baseline</v>
      </c>
      <c r="D17" t="str">
        <v>No unexpected title/meta/canonical differences</v>
      </c>
      <c r="E17" t="str">
        <v>Crawler</v>
      </c>
      <c r="F17" t="str">
        <v>Developer</v>
      </c>
      <c r="G17" t="str">
        <v>Not Started</v>
      </c>
    </row>
    <row r="18">
      <c r="A18">
        <v>12</v>
      </c>
      <c r="B18" t="str">
        <v>4. SEO Comparison</v>
      </c>
      <c r="C18" t="str">
        <v>Redirect map loaded and tested</v>
      </c>
      <c r="D18" t="str">
        <v>All mapped URLs 301 correctly</v>
      </c>
      <c r="E18" t="str">
        <v>Redirect tool</v>
      </c>
      <c r="F18" t="str">
        <v>Developer</v>
      </c>
      <c r="G18" t="str">
        <v>Not Started</v>
      </c>
    </row>
    <row r="19">
      <c r="A19">
        <v>13</v>
      </c>
      <c r="B19" t="str">
        <v>4. SEO Comparison</v>
      </c>
      <c r="C19" t="str">
        <v>Confirm production will stay indexable</v>
      </c>
      <c r="D19" t="str">
        <v>Search engine visibility setting ON in production; staging noindex not migrated</v>
      </c>
      <c r="E19" t="str">
        <v>WP admin</v>
      </c>
      <c r="F19" t="str">
        <v>Developer</v>
      </c>
      <c r="G19" t="str">
        <v>Not Started</v>
      </c>
    </row>
    <row r="20">
      <c r="A20">
        <v>14</v>
      </c>
      <c r="B20" t="str">
        <v>5. Theme Activation</v>
      </c>
      <c r="C20" t="str">
        <v>Enable maintenance mode (short)</v>
      </c>
      <c r="D20" t="str">
        <v>Visitors see maintenance page; admins can access</v>
      </c>
      <c r="E20" t="str">
        <v>Maintenance plugin</v>
      </c>
      <c r="F20" t="str">
        <v>Developer</v>
      </c>
      <c r="G20" t="str">
        <v>Not Started</v>
      </c>
    </row>
    <row r="21">
      <c r="A21">
        <v>15</v>
      </c>
      <c r="B21" t="str">
        <v>5. Theme Activation</v>
      </c>
      <c r="C21" t="str">
        <v>Upload theme package to production</v>
      </c>
      <c r="D21" t="str">
        <v>Files match tagged Git release</v>
      </c>
      <c r="E21" t="str">
        <v>SFTP / Git</v>
      </c>
      <c r="F21" t="str">
        <v>Developer</v>
      </c>
      <c r="G21" t="str">
        <v>Not Started</v>
      </c>
    </row>
    <row r="22">
      <c r="A22">
        <v>16</v>
      </c>
      <c r="B22" t="str">
        <v>5. Theme Activation</v>
      </c>
      <c r="C22" t="str">
        <v>Install/activate required plugins &amp; settings</v>
      </c>
      <c r="D22" t="str">
        <v>Plugin list matches staging</v>
      </c>
      <c r="E22" t="str">
        <v>WP admin</v>
      </c>
      <c r="F22" t="str">
        <v>Developer</v>
      </c>
      <c r="G22" t="str">
        <v>Not Started</v>
      </c>
    </row>
    <row r="23">
      <c r="A23">
        <v>17</v>
      </c>
      <c r="B23" t="str">
        <v>5. Theme Activation</v>
      </c>
      <c r="C23" t="str">
        <v>Migrate magazine issues (48), leads config, roles, Customizer settings</v>
      </c>
      <c r="D23" t="str">
        <v>48 issues present; homepage sections configured</v>
      </c>
      <c r="E23" t="str">
        <v>Import tools</v>
      </c>
      <c r="F23" t="str">
        <v>Developer</v>
      </c>
      <c r="G23" t="str">
        <v>Not Started</v>
      </c>
    </row>
    <row r="24">
      <c r="A24">
        <v>18</v>
      </c>
      <c r="B24" t="str">
        <v>5. Theme Activation</v>
      </c>
      <c r="C24" t="str">
        <v>Run approved DB optimizations</v>
      </c>
      <c r="D24" t="str">
        <v>Only steps rehearsed on staging executed</v>
      </c>
      <c r="E24" t="str">
        <v>SQL / plugin</v>
      </c>
      <c r="F24" t="str">
        <v>Developer</v>
      </c>
      <c r="G24" t="str">
        <v>Not Started</v>
      </c>
    </row>
    <row r="25">
      <c r="A25">
        <v>19</v>
      </c>
      <c r="B25" t="str">
        <v>5. Theme Activation</v>
      </c>
      <c r="C25" t="str">
        <v>Activate theme 'altijara'</v>
      </c>
      <c r="D25" t="str">
        <v>Homepage renders new theme</v>
      </c>
      <c r="E25" t="str">
        <v>WP admin</v>
      </c>
      <c r="F25" t="str">
        <v>Developer</v>
      </c>
      <c r="G25" t="str">
        <v>Not Started</v>
      </c>
    </row>
    <row r="26">
      <c r="A26">
        <v>20</v>
      </c>
      <c r="B26" t="str">
        <v>5. Theme Activation</v>
      </c>
      <c r="C26" t="str">
        <v>Switch credentials/webhooks to production (payments, OAuth, SMTP)</v>
      </c>
      <c r="D26" t="str">
        <v>Webhook endpoint registered with live secret</v>
      </c>
      <c r="E26" t="str">
        <v>Provider dashboards</v>
      </c>
      <c r="F26" t="str">
        <v>Developer</v>
      </c>
      <c r="G26" t="str">
        <v>Not Started</v>
      </c>
    </row>
    <row r="27">
      <c r="A27">
        <v>21</v>
      </c>
      <c r="B27" t="str">
        <v>5. Theme Activation</v>
      </c>
      <c r="C27" t="str">
        <v>Flush permalinks</v>
      </c>
      <c r="D27" t="str">
        <v>Settings &gt; Permalinks saved</v>
      </c>
      <c r="E27" t="str">
        <v>WP admin</v>
      </c>
      <c r="F27" t="str">
        <v>Developer</v>
      </c>
      <c r="G27" t="str">
        <v>Not Started</v>
      </c>
    </row>
    <row r="28">
      <c r="A28">
        <v>22</v>
      </c>
      <c r="B28" t="str">
        <v>6. Cache Clearing</v>
      </c>
      <c r="C28" t="str">
        <v>Purge LiteSpeed cache (all)</v>
      </c>
      <c r="D28" t="str">
        <v>Purge confirmation</v>
      </c>
      <c r="E28" t="str">
        <v>LiteSpeed</v>
      </c>
      <c r="F28" t="str">
        <v>Developer</v>
      </c>
      <c r="G28" t="str">
        <v>Not Started</v>
      </c>
    </row>
    <row r="29">
      <c r="A29">
        <v>23</v>
      </c>
      <c r="B29" t="str">
        <v>6. Cache Clearing</v>
      </c>
      <c r="C29" t="str">
        <v>Purge CDN / hosting cache if applicable</v>
      </c>
      <c r="D29" t="str">
        <v>Fresh assets served (versioned URLs)</v>
      </c>
      <c r="E29" t="str">
        <v>hPanel / CDN</v>
      </c>
      <c r="F29" t="str">
        <v>Developer</v>
      </c>
      <c r="G29" t="str">
        <v>Not Started</v>
      </c>
    </row>
    <row r="30">
      <c r="A30">
        <v>24</v>
      </c>
      <c r="B30" t="str">
        <v>6. Cache Clearing</v>
      </c>
      <c r="C30" t="str">
        <v>Disable maintenance mode</v>
      </c>
      <c r="D30" t="str">
        <v>Public site visible</v>
      </c>
      <c r="E30" t="str">
        <v>WP admin</v>
      </c>
      <c r="F30" t="str">
        <v>Developer</v>
      </c>
      <c r="G30" t="str">
        <v>Not Started</v>
      </c>
    </row>
    <row r="31">
      <c r="A31">
        <v>25</v>
      </c>
      <c r="B31" t="str">
        <v>7. Smoke Testing</v>
      </c>
      <c r="C31" t="str">
        <v>Homepage, article, category, author load (guest)</v>
      </c>
      <c r="D31" t="str">
        <v>200, correct layout</v>
      </c>
      <c r="E31" t="str">
        <v>Browser</v>
      </c>
      <c r="F31" t="str">
        <v>Developer</v>
      </c>
      <c r="G31" t="str">
        <v>Not Started</v>
      </c>
    </row>
    <row r="32">
      <c r="A32">
        <v>26</v>
      </c>
      <c r="B32" t="str">
        <v>7. Smoke Testing</v>
      </c>
      <c r="C32" t="str">
        <v>Issue archive, single issue, flipbook, download</v>
      </c>
      <c r="D32" t="str">
        <v>Works per access rules</v>
      </c>
      <c r="E32" t="str">
        <v>Browser</v>
      </c>
      <c r="F32" t="str">
        <v>Developer</v>
      </c>
      <c r="G32" t="str">
        <v>Not Started</v>
      </c>
    </row>
    <row r="33">
      <c r="A33">
        <v>27</v>
      </c>
      <c r="B33" t="str">
        <v>7. Smoke Testing</v>
      </c>
      <c r="C33" t="str">
        <v>Login, register, reset, Google sign-in</v>
      </c>
      <c r="D33" t="str">
        <v>All succeed</v>
      </c>
      <c r="E33" t="str">
        <v>Browser</v>
      </c>
      <c r="F33" t="str">
        <v>Developer</v>
      </c>
      <c r="G33" t="str">
        <v>Not Started</v>
      </c>
    </row>
    <row r="34">
      <c r="A34">
        <v>28</v>
      </c>
      <c r="B34" t="str">
        <v>7. Smoke Testing</v>
      </c>
      <c r="C34" t="str">
        <v>Live payment test (low value) + webhook received</v>
      </c>
      <c r="D34" t="str">
        <v>Tier activated; refund test transaction</v>
      </c>
      <c r="E34" t="str">
        <v>Gateway</v>
      </c>
      <c r="F34" t="str">
        <v>Developer</v>
      </c>
      <c r="G34" t="str">
        <v>Not Started</v>
      </c>
    </row>
    <row r="35">
      <c r="A35">
        <v>29</v>
      </c>
      <c r="B35" t="str">
        <v>7. Smoke Testing</v>
      </c>
      <c r="C35" t="str">
        <v>Contact &amp; lead forms</v>
      </c>
      <c r="D35" t="str">
        <v>Stored + emailed</v>
      </c>
      <c r="E35" t="str">
        <v>Browser</v>
      </c>
      <c r="F35" t="str">
        <v>Developer</v>
      </c>
      <c r="G35" t="str">
        <v>Not Started</v>
      </c>
    </row>
    <row r="36">
      <c r="A36">
        <v>30</v>
      </c>
      <c r="B36" t="str">
        <v>7. Smoke Testing</v>
      </c>
      <c r="C36" t="str">
        <v>Sample crawl of 200 legacy URLs</v>
      </c>
      <c r="D36" t="str">
        <v>All 200, no 404</v>
      </c>
      <c r="E36" t="str">
        <v>Crawler</v>
      </c>
      <c r="F36" t="str">
        <v>Developer</v>
      </c>
      <c r="G36" t="str">
        <v>Not Started</v>
      </c>
    </row>
    <row r="37">
      <c r="A37">
        <v>31</v>
      </c>
      <c r="B37" t="str">
        <v>8. Rollback Readiness</v>
      </c>
      <c r="C37" t="str">
        <v>Rollback decision owner &amp; go/no-go criteria agreed</v>
      </c>
      <c r="D37" t="str">
        <v>Criteria documented (see Rollback Plan)</v>
      </c>
      <c r="E37" t="str">
        <v>—</v>
      </c>
      <c r="F37" t="str">
        <v>Developer</v>
      </c>
      <c r="G37" t="str">
        <v>Not Started</v>
      </c>
    </row>
    <row r="38">
      <c r="A38">
        <v>32</v>
      </c>
      <c r="B38" t="str">
        <v>8. Rollback Readiness</v>
      </c>
      <c r="C38" t="str">
        <v>Backup files reachable &amp; restore commands ready</v>
      </c>
      <c r="D38" t="str">
        <v>Paths and commands in Notes</v>
      </c>
      <c r="E38" t="str">
        <v>—</v>
      </c>
      <c r="F38" t="str">
        <v>Developer</v>
      </c>
      <c r="G38" t="str">
        <v>Not Started</v>
      </c>
    </row>
    <row r="39">
      <c r="A39">
        <v>33</v>
      </c>
      <c r="B39" t="str">
        <v>8. Rollback Readiness</v>
      </c>
      <c r="C39" t="str">
        <v>Go / No-Go decision recorded</v>
      </c>
      <c r="D39" t="str">
        <v>Decision + time recorded</v>
      </c>
      <c r="E39" t="str">
        <v>—</v>
      </c>
      <c r="F39" t="str">
        <v>Developer</v>
      </c>
      <c r="G39" t="str">
        <v>Not Started</v>
      </c>
    </row>
    <row r="40">
      <c r="A40">
        <v>34</v>
      </c>
      <c r="B40" t="str">
        <v>9. Post-launch Monitoring</v>
      </c>
      <c r="C40" t="str">
        <v>Resubmit sitemaps in Google Search Console</v>
      </c>
      <c r="D40" t="str">
        <v>Sitemaps processed</v>
      </c>
      <c r="E40" t="str">
        <v>GSC</v>
      </c>
      <c r="F40" t="str">
        <v>Developer</v>
      </c>
      <c r="G40" t="str">
        <v>Not Started</v>
      </c>
    </row>
    <row r="41">
      <c r="A41">
        <v>35</v>
      </c>
      <c r="B41" t="str">
        <v>9. Post-launch Monitoring</v>
      </c>
      <c r="C41" t="str">
        <v>Monitor PHP error log (24–48 h)</v>
      </c>
      <c r="D41" t="str">
        <v>No fatal errors</v>
      </c>
      <c r="E41" t="str">
        <v>debug.log / hPanel</v>
      </c>
      <c r="F41" t="str">
        <v>Developer</v>
      </c>
      <c r="G41" t="str">
        <v>Not Started</v>
      </c>
    </row>
    <row r="42">
      <c r="A42">
        <v>36</v>
      </c>
      <c r="B42" t="str">
        <v>9. Post-launch Monitoring</v>
      </c>
      <c r="C42" t="str">
        <v>Monitor Search Console coverage/404s (7 days)</v>
      </c>
      <c r="D42" t="str">
        <v>No spike in 404s</v>
      </c>
      <c r="E42" t="str">
        <v>GSC</v>
      </c>
      <c r="F42" t="str">
        <v>Developer</v>
      </c>
      <c r="G42" t="str">
        <v>Not Started</v>
      </c>
    </row>
    <row r="43">
      <c r="A43">
        <v>37</v>
      </c>
      <c r="B43" t="str">
        <v>9. Post-launch Monitoring</v>
      </c>
      <c r="C43" t="str">
        <v>Check Core Web Vitals on production</v>
      </c>
      <c r="D43" t="str">
        <v>Targets met</v>
      </c>
      <c r="E43" t="str">
        <v>PageSpeed</v>
      </c>
      <c r="F43" t="str">
        <v>Developer</v>
      </c>
      <c r="G43" t="str">
        <v>Not Started</v>
      </c>
    </row>
    <row r="44">
      <c r="A44">
        <v>38</v>
      </c>
      <c r="B44" t="str">
        <v>9. Post-launch Monitoring</v>
      </c>
      <c r="C44" t="str">
        <v>Compare post-launch row counts with pre-cutover</v>
      </c>
      <c r="D44" t="str">
        <v>Counts identical</v>
      </c>
      <c r="E44" t="str">
        <v>SQL</v>
      </c>
      <c r="F44" t="str">
        <v>Developer</v>
      </c>
      <c r="G44" t="str">
        <v>Not Started</v>
      </c>
    </row>
    <row r="45">
      <c r="A45">
        <v>39</v>
      </c>
      <c r="B45" t="str">
        <v>9. Post-launch Monitoring</v>
      </c>
      <c r="C45" t="str">
        <v>Lift content freeze; notify editors</v>
      </c>
      <c r="D45" t="str">
        <v>Editors publishing normally</v>
      </c>
      <c r="E45" t="str">
        <v>Email</v>
      </c>
      <c r="F45" t="str">
        <v>Developer</v>
      </c>
      <c r="G45" t="str">
        <v>Not Started</v>
      </c>
    </row>
    <row r="48">
      <c r="A48" t="str">
        <v xml:space="preserve">  ROLLBACK PLAN   (rehearsed in task P6-19 — record rehearsal time in Notes)</v>
      </c>
    </row>
    <row r="49">
      <c r="A49" t="str">
        <v>#</v>
      </c>
      <c r="B49" t="str">
        <v>Trigger</v>
      </c>
      <c r="D49" t="str">
        <v>Rollback action</v>
      </c>
      <c r="G49" t="str">
        <v>Target time</v>
      </c>
      <c r="H49" t="str">
        <v>Rehearsed?</v>
      </c>
      <c r="J49" t="str">
        <v>Notes</v>
      </c>
    </row>
    <row r="50">
      <c r="A50">
        <v>1</v>
      </c>
      <c r="B50" t="str">
        <v>Fatal error / white screen after activation</v>
      </c>
      <c r="D50" t="str">
        <v>Re-activate previous theme from WP admin or rename theme folder via SFTP; purge cache</v>
      </c>
      <c r="G50" t="str">
        <v>&lt; 5 min</v>
      </c>
      <c r="H50" t="str">
        <v>Not Started</v>
      </c>
    </row>
    <row r="51">
      <c r="A51">
        <v>2</v>
      </c>
      <c r="B51" t="str">
        <v>Data corruption or missing content</v>
      </c>
      <c r="D51" t="str">
        <v>Enable maintenance; restore pre-cutover DB dump; purge cache; verify row counts</v>
      </c>
      <c r="G51" t="str">
        <v>&lt; 30 min</v>
      </c>
      <c r="H51" t="str">
        <v>Not Started</v>
      </c>
    </row>
    <row r="52">
      <c r="A52">
        <v>3</v>
      </c>
      <c r="B52" t="str">
        <v>Widespread 404s / permalink failure</v>
      </c>
      <c r="D52" t="str">
        <v>Flush permalinks; if unresolved re-activate previous theme; restore .htaccess backup</v>
      </c>
      <c r="G52" t="str">
        <v>&lt; 10 min</v>
      </c>
      <c r="H52" t="str">
        <v>Not Started</v>
      </c>
    </row>
    <row r="53">
      <c r="A53">
        <v>4</v>
      </c>
      <c r="B53" t="str">
        <v>Payments failing in live mode</v>
      </c>
      <c r="D53" t="str">
        <v>Disable checkout (maintenance notice on subscribe page); switch webhooks back; keep site live</v>
      </c>
      <c r="G53" t="str">
        <v>&lt; 10 min</v>
      </c>
      <c r="H53" t="str">
        <v>Not Started</v>
      </c>
    </row>
    <row r="54">
      <c r="A54">
        <v>5</v>
      </c>
      <c r="B54" t="str">
        <v>Severe performance degradation</v>
      </c>
      <c r="D54" t="str">
        <v>Revert LiteSpeed settings export; disable new heavy features via settings; else theme rollback</v>
      </c>
      <c r="G54" t="str">
        <v>&lt; 15 min</v>
      </c>
      <c r="H54" t="str">
        <v>Not Started</v>
      </c>
    </row>
    <row r="56">
      <c r="A56" t="str">
        <v>Go / No-Go rule: roll back if any P0 smoke test in Stage 7 fails and cannot be fixed within 30 minutes, if content/row counts differ from the pre-cutover record, or if payments cannot be confirmed in live mode (payments may instead be disabled while the site stays live).</v>
      </c>
    </row>
  </sheetData>
  <mergeCells count="22">
    <mergeCell ref="A56:J56"/>
    <mergeCell ref="B50:C50"/>
    <mergeCell ref="D52:F52"/>
    <mergeCell ref="D49:F49"/>
    <mergeCell ref="A1:J1"/>
    <mergeCell ref="D54:F54"/>
    <mergeCell ref="D50:F50"/>
    <mergeCell ref="B49:C49"/>
    <mergeCell ref="B51:C51"/>
    <mergeCell ref="A2:J2"/>
    <mergeCell ref="H49:I49"/>
    <mergeCell ref="H51:I51"/>
    <mergeCell ref="A48:J48"/>
    <mergeCell ref="H52:I52"/>
    <mergeCell ref="B53:C53"/>
    <mergeCell ref="D51:F51"/>
    <mergeCell ref="H53:I53"/>
    <mergeCell ref="B54:C54"/>
    <mergeCell ref="H54:I54"/>
    <mergeCell ref="H50:I50"/>
    <mergeCell ref="D53:F53"/>
    <mergeCell ref="B52:C52"/>
  </mergeCells>
  <hyperlinks>
    <hyperlink ref="A3" location="'Executive Dashboard'!A1"/>
    <hyperlink ref="C3" r:id="rId1"/>
  </hyperlinks>
  <pageMargins left="0.75" right="0.75" top="1" bottom="1" header="0.5" footer="0.5"/>
  <ignoredErrors>
    <ignoredError numberStoredAsText="1" sqref="A1:J56"/>
  </ignoredErrors>
</worksheet>
</file>

<file path=xl/worksheets/sheet11.xml><?xml version="1.0" encoding="utf-8"?>
<worksheet xmlns="http://schemas.openxmlformats.org/spreadsheetml/2006/main" xmlns:r="http://schemas.openxmlformats.org/officeDocument/2006/relationships">
  <dimension ref="A1:K33"/>
  <sheetViews>
    <sheetView workbookViewId="0" rightToLeft="0"/>
  </sheetViews>
  <sheetData>
    <row r="1">
      <c r="A1" t="str">
        <v xml:space="preserve">  RISKS &amp; BLOCKERS REGISTER</v>
      </c>
    </row>
    <row r="2">
      <c r="A2" t="str">
        <v xml:space="preserve">  Severity and Status are dropdowns. Open Critical/High risks are highlighted. Review daily during stand-up.</v>
      </c>
    </row>
    <row r="3">
      <c r="A3" t="str">
        <v>← Dashboard</v>
      </c>
      <c r="C3" t="str">
        <f>"Open: "&amp;COUNTIFS(I6:I200,"Open")&amp;"   ·   Open Critical: "&amp;COUNTIFS(I6:I200,"Open",D6:D200,"Critical")&amp;"   ·   Open High: "&amp;COUNTIFS(I6:I200,"Open",D6:D200,"High")&amp;"   ·   Realized: "&amp;COUNTIF(I6:I200,"Realized")</f>
        <v>Open: 18   ·   Open Critical: 3   ·   Open High: 8   ·   Realized: 0</v>
      </c>
    </row>
    <row r="5">
      <c r="A5" t="str">
        <v>Risk ID</v>
      </c>
      <c r="B5" t="str">
        <v>Related Phase</v>
      </c>
      <c r="C5" t="str">
        <v>Description</v>
      </c>
      <c r="D5" t="str">
        <v>Severity</v>
      </c>
      <c r="E5" t="str">
        <v>Likelihood</v>
      </c>
      <c r="F5" t="str">
        <v>Impact</v>
      </c>
      <c r="G5" t="str">
        <v>Mitigation</v>
      </c>
      <c r="H5" t="str">
        <v>Owner</v>
      </c>
      <c r="I5" t="str">
        <v>Status</v>
      </c>
      <c r="J5" t="str">
        <v>Resolution</v>
      </c>
      <c r="K5" t="str">
        <v>Date Raised</v>
      </c>
    </row>
    <row r="6">
      <c r="A6" t="str">
        <v>R-01</v>
      </c>
      <c r="B6" t="str">
        <v>All</v>
      </c>
      <c r="C6" t="str">
        <v>Source Engineering Directive PDF was not available when this tracker was generated; detailed acceptance criteria may differ from the brief.</v>
      </c>
      <c r="D6" t="str">
        <v>High</v>
      </c>
      <c r="E6" t="str">
        <v>Possible</v>
      </c>
      <c r="F6" t="str">
        <v>Missed or mis-specified requirements</v>
      </c>
      <c r="G6" t="str">
        <v>Reconcile every task's Acceptance Criteria against the 13-page PDF on Day 1; add missing tasks in spare rows</v>
      </c>
      <c r="H6" t="str">
        <v>Developer</v>
      </c>
      <c r="I6" t="str">
        <v>Open</v>
      </c>
      <c r="K6">
        <v>46306</v>
      </c>
    </row>
    <row r="7">
      <c r="A7" t="str">
        <v>R-02</v>
      </c>
      <c r="B7" t="str">
        <v>All</v>
      </c>
      <c r="C7" t="str">
        <v>Full scope (111 tasks) is very ambitious for one developer between 12 Oct and 1 Nov.</v>
      </c>
      <c r="D7" t="str">
        <v>Critical</v>
      </c>
      <c r="E7" t="str">
        <v>Likely</v>
      </c>
      <c r="F7" t="str">
        <v>Deadline miss or quality loss</v>
      </c>
      <c r="G7" t="str">
        <v>Watch the Dashboard Schedule Health daily; agree with client now which P2 items (e.g. Apple sign-in, print CSS, grid/list toggle, media kit gating) may move post-launch; protect P0 scope</v>
      </c>
      <c r="H7" t="str">
        <v>Developer + Client</v>
      </c>
      <c r="I7" t="str">
        <v>Open</v>
      </c>
      <c r="K7">
        <v>46306</v>
      </c>
    </row>
    <row r="8">
      <c r="A8" t="str">
        <v>R-03</v>
      </c>
      <c r="B8" t="str">
        <v>P6</v>
      </c>
      <c r="C8" t="str">
        <v>Very large WordPress backup (uploads) may exceed Hostinger limits/timeouts.</v>
      </c>
      <c r="D8" t="str">
        <v>High</v>
      </c>
      <c r="E8" t="str">
        <v>Possible</v>
      </c>
      <c r="F8" t="str">
        <v>No restorable backup; cutover blocked</v>
      </c>
      <c r="G8" t="str">
        <v>Split backup (DB, uploads by year, theme/plugins); use SSH tar/rsync; store off-server; verify checksums</v>
      </c>
      <c r="H8" t="str">
        <v>Developer</v>
      </c>
      <c r="I8" t="str">
        <v>Open</v>
      </c>
      <c r="K8">
        <v>46306</v>
      </c>
    </row>
    <row r="9">
      <c r="A9" t="str">
        <v>R-04</v>
      </c>
      <c r="B9" t="str">
        <v>P6</v>
      </c>
      <c r="C9" t="str">
        <v>Database import to staging/production may fail (size, max_allowed_packet, timeouts, charset utf8mb4 Arabic).</v>
      </c>
      <c r="D9" t="str">
        <v>High</v>
      </c>
      <c r="E9" t="str">
        <v>Possible</v>
      </c>
      <c r="F9" t="str">
        <v>Corrupt Arabic text or incomplete DB</v>
      </c>
      <c r="G9" t="str">
        <v>Use mysqldump/CLI import or chunked import; confirm utf8mb4; compare row counts</v>
      </c>
      <c r="H9" t="str">
        <v>Developer</v>
      </c>
      <c r="I9" t="str">
        <v>Open</v>
      </c>
      <c r="K9">
        <v>46306</v>
      </c>
    </row>
    <row r="10">
      <c r="A10" t="str">
        <v>R-05</v>
      </c>
      <c r="B10" t="str">
        <v>P6</v>
      </c>
      <c r="C10" t="str">
        <v>Hosting restrictions (no SSH/WP-CLI, PHP limits, cron, .htaccess rules) on Hostinger plan.</v>
      </c>
      <c r="D10" t="str">
        <v>Medium</v>
      </c>
      <c r="E10" t="str">
        <v>Possible</v>
      </c>
      <c r="F10" t="str">
        <v>Slower migration; blocked PDF protection</v>
      </c>
      <c r="G10" t="str">
        <v>Confirm plan capabilities Day 1 (P1-01); fallback to admin-based importer and PHP-served PDFs</v>
      </c>
      <c r="H10" t="str">
        <v>Developer</v>
      </c>
      <c r="I10" t="str">
        <v>Open</v>
      </c>
      <c r="K10">
        <v>46306</v>
      </c>
    </row>
    <row r="11">
      <c r="A11" t="str">
        <v>R-06</v>
      </c>
      <c r="B11" t="str">
        <v>P5</v>
      </c>
      <c r="C11" t="str">
        <v>Payment provider approval or live keys not ready by cutover.</v>
      </c>
      <c r="D11" t="str">
        <v>Critical</v>
      </c>
      <c r="E11" t="str">
        <v>Likely</v>
      </c>
      <c r="F11" t="str">
        <v>Subscriptions cannot launch</v>
      </c>
      <c r="G11" t="str">
        <v>Request Day 1 (P5-03); launch with subscriptions in sandbox-off/'coming soon' mode if not approved</v>
      </c>
      <c r="H11" t="str">
        <v>Client</v>
      </c>
      <c r="I11" t="str">
        <v>Open</v>
      </c>
      <c r="K11">
        <v>46306</v>
      </c>
    </row>
    <row r="12">
      <c r="A12" t="str">
        <v>R-07</v>
      </c>
      <c r="B12" t="str">
        <v>P5</v>
      </c>
      <c r="C12" t="str">
        <v>Google / Apple credentials delayed (Apple requires paid developer account + domain verification).</v>
      </c>
      <c r="D12" t="str">
        <v>Medium</v>
      </c>
      <c r="E12" t="str">
        <v>Possible</v>
      </c>
      <c r="F12" t="str">
        <v>Social login missing at launch</v>
      </c>
      <c r="G12" t="str">
        <v>Request Day 1; ship email login first; Apple as P2</v>
      </c>
      <c r="H12" t="str">
        <v>Client</v>
      </c>
      <c r="I12" t="str">
        <v>Open</v>
      </c>
      <c r="K12">
        <v>46306</v>
      </c>
    </row>
    <row r="13">
      <c r="A13" t="str">
        <v>R-08</v>
      </c>
      <c r="B13" t="str">
        <v>P4</v>
      </c>
      <c r="C13" t="str">
        <v>48 historical PDFs/covers incomplete or low quality.</v>
      </c>
      <c r="D13" t="str">
        <v>High</v>
      </c>
      <c r="E13" t="str">
        <v>Possible</v>
      </c>
      <c r="F13" t="str">
        <v>Archive incomplete</v>
      </c>
      <c r="G13" t="str">
        <v>Request Day 1 (P4-03); track missing list; launch with available issues clearly marked</v>
      </c>
      <c r="H13" t="str">
        <v>Client</v>
      </c>
      <c r="I13" t="str">
        <v>Open</v>
      </c>
      <c r="K13">
        <v>46306</v>
      </c>
    </row>
    <row r="14">
      <c r="A14" t="str">
        <v>R-09</v>
      </c>
      <c r="B14" t="str">
        <v>P4</v>
      </c>
      <c r="C14" t="str">
        <v>Large PDFs slow flipbook / exceed upload limits.</v>
      </c>
      <c r="D14" t="str">
        <v>Medium</v>
      </c>
      <c r="E14" t="str">
        <v>Possible</v>
      </c>
      <c r="F14" t="str">
        <v>Poor reader UX</v>
      </c>
      <c r="G14" t="str">
        <v>Compress PDFs, lazy-load PDF.js, increase upload limit or upload via SFTP</v>
      </c>
      <c r="H14" t="str">
        <v>Developer</v>
      </c>
      <c r="I14" t="str">
        <v>Open</v>
      </c>
      <c r="K14">
        <v>46306</v>
      </c>
    </row>
    <row r="15">
      <c r="A15" t="str">
        <v>R-10</v>
      </c>
      <c r="B15" t="str">
        <v>P3</v>
      </c>
      <c r="C15" t="str">
        <v>Legacy JNews shortcodes/meta embedded in 2,645 articles break after theme switch.</v>
      </c>
      <c r="D15" t="str">
        <v>High</v>
      </c>
      <c r="E15" t="str">
        <v>Possible</v>
      </c>
      <c r="F15" t="str">
        <v>Broken article content, lost view counts</v>
      </c>
      <c r="G15" t="str">
        <v>Audit on Day 2 (P6-04); add shortcode fallbacks; migrate view meta</v>
      </c>
      <c r="H15" t="str">
        <v>Developer</v>
      </c>
      <c r="I15" t="str">
        <v>Open</v>
      </c>
      <c r="K15">
        <v>46306</v>
      </c>
    </row>
    <row r="16">
      <c r="A16" t="str">
        <v>R-11</v>
      </c>
      <c r="B16" t="str">
        <v>P6</v>
      </c>
      <c r="C16" t="str">
        <v>Permalink/SEO regressions after replacing JNews.</v>
      </c>
      <c r="D16" t="str">
        <v>Critical</v>
      </c>
      <c r="E16" t="str">
        <v>Likely</v>
      </c>
      <c r="F16" t="str">
        <v>Traffic loss</v>
      </c>
      <c r="G16" t="str">
        <v>Baseline crawl, full URL validation, redirect map, post-launch GSC monitoring</v>
      </c>
      <c r="H16" t="str">
        <v>Developer</v>
      </c>
      <c r="I16" t="str">
        <v>Open</v>
      </c>
      <c r="K16">
        <v>46306</v>
      </c>
    </row>
    <row r="17">
      <c r="A17" t="str">
        <v>R-12</v>
      </c>
      <c r="B17" t="str">
        <v>All</v>
      </c>
      <c r="C17" t="str">
        <v>Working directly on shared staging without local environment — accidental breakage without history.</v>
      </c>
      <c r="D17" t="str">
        <v>Medium</v>
      </c>
      <c r="E17" t="str">
        <v>Possible</v>
      </c>
      <c r="F17" t="str">
        <v>Lost work / downtime of staging</v>
      </c>
      <c r="G17" t="str">
        <v>Git repo for theme; daily DB snapshot of staging; small incremental deploys</v>
      </c>
      <c r="H17" t="str">
        <v>Developer</v>
      </c>
      <c r="I17" t="str">
        <v>Open</v>
      </c>
      <c r="K17">
        <v>46306</v>
      </c>
    </row>
    <row r="18">
      <c r="A18" t="str">
        <v>R-13</v>
      </c>
      <c r="B18" t="str">
        <v>All</v>
      </c>
      <c r="C18" t="str">
        <v>Content published on production during development diverges from staging.</v>
      </c>
      <c r="D18" t="str">
        <v>Medium</v>
      </c>
      <c r="E18" t="str">
        <v>Possible</v>
      </c>
      <c r="F18" t="str">
        <v>Lost posts at cutover</v>
      </c>
      <c r="G18" t="str">
        <v>Theme-only deployment strategy (production DB kept); content freeze only during cutover window</v>
      </c>
      <c r="H18" t="str">
        <v>Developer + Client</v>
      </c>
      <c r="I18" t="str">
        <v>Open</v>
      </c>
      <c r="K18">
        <v>46306</v>
      </c>
    </row>
    <row r="19">
      <c r="A19" t="str">
        <v>R-14</v>
      </c>
      <c r="B19" t="str">
        <v>P6</v>
      </c>
      <c r="C19" t="str">
        <v>LiteSpeed caching of private pages (account, checkout) or stale homepage.</v>
      </c>
      <c r="D19" t="str">
        <v>High</v>
      </c>
      <c r="E19" t="str">
        <v>Possible</v>
      </c>
      <c r="F19" t="str">
        <v>Data exposure / stale content</v>
      </c>
      <c r="G19" t="str">
        <v>Exclude private URLs, vary on login cookie, purge on publish; test as guest &amp; member</v>
      </c>
      <c r="H19" t="str">
        <v>Developer</v>
      </c>
      <c r="I19" t="str">
        <v>Open</v>
      </c>
      <c r="K19">
        <v>46306</v>
      </c>
    </row>
    <row r="20">
      <c r="A20" t="str">
        <v>R-15</v>
      </c>
      <c r="B20" t="str">
        <v>P5</v>
      </c>
      <c r="C20" t="str">
        <v>Webhook spoofing or duplicate events corrupt subscription state.</v>
      </c>
      <c r="D20" t="str">
        <v>High</v>
      </c>
      <c r="E20" t="str">
        <v>Possible</v>
      </c>
      <c r="F20" t="str">
        <v>Revenue / access errors</v>
      </c>
      <c r="G20" t="str">
        <v>Signature verification, idempotency keys, event log</v>
      </c>
      <c r="H20" t="str">
        <v>Developer</v>
      </c>
      <c r="I20" t="str">
        <v>Open</v>
      </c>
      <c r="K20">
        <v>46306</v>
      </c>
    </row>
    <row r="21">
      <c r="A21" t="str">
        <v>R-16</v>
      </c>
      <c r="B21" t="str">
        <v>All</v>
      </c>
      <c r="C21" t="str">
        <v>Client feedback/approval delays (content for About/Advertise, UAT).</v>
      </c>
      <c r="D21" t="str">
        <v>Medium</v>
      </c>
      <c r="E21" t="str">
        <v>Possible</v>
      </c>
      <c r="F21" t="str">
        <v>Schedule slip</v>
      </c>
      <c r="G21" t="str">
        <v>Share staging link early (P2-24); set feedback deadlines; placeholders until content arrives</v>
      </c>
      <c r="H21" t="str">
        <v>Client</v>
      </c>
      <c r="I21" t="str">
        <v>Open</v>
      </c>
      <c r="K21">
        <v>46306</v>
      </c>
    </row>
    <row r="22">
      <c r="A22" t="str">
        <v>R-17</v>
      </c>
      <c r="B22" t="str">
        <v>All</v>
      </c>
      <c r="C22" t="str">
        <v>Third-party plugin conflicts with new theme (SEO, LiteSpeed, forms).</v>
      </c>
      <c r="D22" t="str">
        <v>Medium</v>
      </c>
      <c r="E22" t="str">
        <v>Possible</v>
      </c>
      <c r="F22" t="str">
        <v>Features break</v>
      </c>
      <c r="G22" t="str">
        <v>Keep plugin set minimal; test each on staging; document versions</v>
      </c>
      <c r="H22" t="str">
        <v>Developer</v>
      </c>
      <c r="I22" t="str">
        <v>Open</v>
      </c>
      <c r="K22">
        <v>46306</v>
      </c>
    </row>
    <row r="23">
      <c r="A23" t="str">
        <v>R-18</v>
      </c>
      <c r="B23" t="str">
        <v>All</v>
      </c>
      <c r="C23" t="str">
        <v>Single-developer availability (illness, fatigue) with no backup resource.</v>
      </c>
      <c r="D23" t="str">
        <v>High</v>
      </c>
      <c r="E23" t="str">
        <v>Possible</v>
      </c>
      <c r="F23" t="str">
        <v>Deadline miss</v>
      </c>
      <c r="G23" t="str">
        <v>Daily planner tracking, 6 h bug buffer, early escalation when daily variance appears</v>
      </c>
      <c r="H23" t="str">
        <v>Developer</v>
      </c>
      <c r="I23" t="str">
        <v>Open</v>
      </c>
      <c r="K23">
        <v>46306</v>
      </c>
    </row>
  </sheetData>
  <mergeCells count="2">
    <mergeCell ref="A2:K2"/>
    <mergeCell ref="A1:K1"/>
  </mergeCells>
  <hyperlinks>
    <hyperlink ref="A3" location="'Executive Dashboard'!A1"/>
  </hyperlinks>
  <pageMargins left="0.75" right="0.75" top="1" bottom="1" header="0.5" footer="0.5"/>
  <ignoredErrors>
    <ignoredError numberStoredAsText="1" sqref="A1:K33"/>
  </ignoredErrors>
</worksheet>
</file>

<file path=xl/worksheets/sheet12.xml><?xml version="1.0" encoding="utf-8"?>
<worksheet xmlns="http://schemas.openxmlformats.org/spreadsheetml/2006/main" xmlns:r="http://schemas.openxmlformats.org/officeDocument/2006/relationships">
  <dimension ref="A1:G72"/>
  <sheetViews>
    <sheetView workbookViewId="0" rightToLeft="0"/>
  </sheetViews>
  <sheetData>
    <row r="1">
      <c r="A1" t="str">
        <v xml:space="preserve">  REQUIREMENT TRACEABILITY MAP</v>
      </c>
    </row>
    <row r="2">
      <c r="A2" t="str">
        <v xml:space="preserve">  Every requirement from the brief mapped to tracker tasks. Coverage updates as tasks complete.</v>
      </c>
    </row>
    <row r="3">
      <c r="A3" t="str">
        <v>← Dashboard</v>
      </c>
    </row>
    <row r="5">
      <c r="A5" t="str">
        <v>Req #</v>
      </c>
      <c r="B5" t="str">
        <v>Phase</v>
      </c>
      <c r="C5" t="str">
        <v>Requirement (from brief)</v>
      </c>
      <c r="D5" t="str">
        <v>Mapped Task IDs</v>
      </c>
      <c r="E5" t="str">
        <v>ƒ Tasks</v>
      </c>
      <c r="F5" t="str">
        <v>ƒ Done</v>
      </c>
      <c r="G5" t="str">
        <v>ƒ Coverage</v>
      </c>
    </row>
    <row r="6">
      <c r="A6" t="str">
        <v>REQ-01</v>
      </c>
      <c r="B6" t="str">
        <v>Phase 1</v>
      </c>
      <c r="C6" t="str">
        <v>Custom WordPress theme structure</v>
      </c>
      <c r="D6" t="str">
        <v>P1-02</v>
      </c>
      <c r="E6">
        <f>SUMPRODUCT(('Master Tracker'!$A$6:$A$400&lt;&gt;"")*ISNUMBER(SEARCH('Master Tracker'!$A$6:$A$400,D6)))</f>
        <v>1</v>
      </c>
      <c r="F6">
        <f>SUMPRODUCT(('Master Tracker'!$A$6:$A$400&lt;&gt;"")*ISNUMBER(SEARCH('Master Tracker'!$A$6:$A$400,D6))*('Master Tracker'!$G$6:$G$400="Completed"))</f>
        <v>1</v>
      </c>
      <c r="G6" t="str">
        <f>IF(E6=0,"⚠ UNMAPPED",IF(F6=E6,"✓ Delivered",F6&amp;" / "&amp;E6&amp;" done"))</f>
        <v>✓ Delivered</v>
      </c>
    </row>
    <row r="7">
      <c r="A7" t="str">
        <v>REQ-02</v>
      </c>
      <c r="B7" t="str">
        <v>Phase 1</v>
      </c>
      <c r="C7" t="str">
        <v>Theme initialization</v>
      </c>
      <c r="D7" t="str">
        <v>P1-03</v>
      </c>
      <c r="E7">
        <f>SUMPRODUCT(('Master Tracker'!$A$6:$A$400&lt;&gt;"")*ISNUMBER(SEARCH('Master Tracker'!$A$6:$A$400,D7)))</f>
        <v>1</v>
      </c>
      <c r="F7">
        <f>SUMPRODUCT(('Master Tracker'!$A$6:$A$400&lt;&gt;"")*ISNUMBER(SEARCH('Master Tracker'!$A$6:$A$400,D7))*('Master Tracker'!$G$6:$G$400="Completed"))</f>
        <v>0</v>
      </c>
      <c r="G7" t="str">
        <f>IF(E7=0,"⚠ UNMAPPED",IF(F7=E7,"✓ Delivered",F7&amp;" / "&amp;E7&amp;" done"))</f>
        <v>0 / 1 done</v>
      </c>
    </row>
    <row r="8">
      <c r="A8" t="str">
        <v>REQ-03</v>
      </c>
      <c r="B8" t="str">
        <v>Phase 1</v>
      </c>
      <c r="C8" t="str">
        <v>PHP templates and reusable components</v>
      </c>
      <c r="D8" t="str">
        <v>P1-05, P1-06</v>
      </c>
      <c r="E8">
        <f>SUMPRODUCT(('Master Tracker'!$A$6:$A$400&lt;&gt;"")*ISNUMBER(SEARCH('Master Tracker'!$A$6:$A$400,D8)))</f>
        <v>2</v>
      </c>
      <c r="F8">
        <f>SUMPRODUCT(('Master Tracker'!$A$6:$A$400&lt;&gt;"")*ISNUMBER(SEARCH('Master Tracker'!$A$6:$A$400,D8))*('Master Tracker'!$G$6:$G$400="Completed"))</f>
        <v>0</v>
      </c>
      <c r="G8" t="str">
        <f>IF(E8=0,"⚠ UNMAPPED",IF(F8=E8,"✓ Delivered",F8&amp;" / "&amp;E8&amp;" done"))</f>
        <v>0 / 2 done</v>
      </c>
    </row>
    <row r="9">
      <c r="A9" t="str">
        <v>REQ-04</v>
      </c>
      <c r="B9" t="str">
        <v>Phase 1</v>
      </c>
      <c r="C9" t="str">
        <v>CSS and Vanilla JS architecture</v>
      </c>
      <c r="D9" t="str">
        <v>P1-04, P1-07, P1-08</v>
      </c>
      <c r="E9">
        <f>SUMPRODUCT(('Master Tracker'!$A$6:$A$400&lt;&gt;"")*ISNUMBER(SEARCH('Master Tracker'!$A$6:$A$400,D9)))</f>
        <v>3</v>
      </c>
      <c r="F9">
        <f>SUMPRODUCT(('Master Tracker'!$A$6:$A$400&lt;&gt;"")*ISNUMBER(SEARCH('Master Tracker'!$A$6:$A$400,D9))*('Master Tracker'!$G$6:$G$400="Completed"))</f>
        <v>0</v>
      </c>
      <c r="G9" t="str">
        <f>IF(E9=0,"⚠ UNMAPPED",IF(F9=E9,"✓ Delivered",F9&amp;" / "&amp;E9&amp;" done"))</f>
        <v>0 / 3 done</v>
      </c>
    </row>
    <row r="10">
      <c r="A10" t="str">
        <v>REQ-05</v>
      </c>
      <c r="B10" t="str">
        <v>Phase 1</v>
      </c>
      <c r="C10" t="str">
        <v>RTL typography and responsive design</v>
      </c>
      <c r="D10" t="str">
        <v>P1-09, P1-10</v>
      </c>
      <c r="E10">
        <f>SUMPRODUCT(('Master Tracker'!$A$6:$A$400&lt;&gt;"")*ISNUMBER(SEARCH('Master Tracker'!$A$6:$A$400,D10)))</f>
        <v>2</v>
      </c>
      <c r="F10">
        <f>SUMPRODUCT(('Master Tracker'!$A$6:$A$400&lt;&gt;"")*ISNUMBER(SEARCH('Master Tracker'!$A$6:$A$400,D10))*('Master Tracker'!$G$6:$G$400="Completed"))</f>
        <v>0</v>
      </c>
      <c r="G10" t="str">
        <f>IF(E10=0,"⚠ UNMAPPED",IF(F10=E10,"✓ Delivered",F10&amp;" / "&amp;E10&amp;" done"))</f>
        <v>0 / 2 done</v>
      </c>
    </row>
    <row r="11">
      <c r="A11" t="str">
        <v>REQ-06</v>
      </c>
      <c r="B11" t="str">
        <v>Phase 1</v>
      </c>
      <c r="C11" t="str">
        <v>WordPress integration</v>
      </c>
      <c r="D11" t="str">
        <v>P1-11, P1-12, P1-13</v>
      </c>
      <c r="E11">
        <f>SUMPRODUCT(('Master Tracker'!$A$6:$A$400&lt;&gt;"")*ISNUMBER(SEARCH('Master Tracker'!$A$6:$A$400,D11)))</f>
        <v>3</v>
      </c>
      <c r="F11">
        <f>SUMPRODUCT(('Master Tracker'!$A$6:$A$400&lt;&gt;"")*ISNUMBER(SEARCH('Master Tracker'!$A$6:$A$400,D11))*('Master Tracker'!$G$6:$G$400="Completed"))</f>
        <v>0</v>
      </c>
      <c r="G11" t="str">
        <f>IF(E11=0,"⚠ UNMAPPED",IF(F11=E11,"✓ Delivered",F11&amp;" / "&amp;E11&amp;" done"))</f>
        <v>0 / 3 done</v>
      </c>
    </row>
    <row r="12">
      <c r="A12" t="str">
        <v>REQ-07</v>
      </c>
      <c r="B12" t="str">
        <v>Phase 1</v>
      </c>
      <c r="C12" t="str">
        <v>Query caching and Arabic date helpers</v>
      </c>
      <c r="D12" t="str">
        <v>P1-14, P1-15</v>
      </c>
      <c r="E12">
        <f>SUMPRODUCT(('Master Tracker'!$A$6:$A$400&lt;&gt;"")*ISNUMBER(SEARCH('Master Tracker'!$A$6:$A$400,D12)))</f>
        <v>2</v>
      </c>
      <c r="F12">
        <f>SUMPRODUCT(('Master Tracker'!$A$6:$A$400&lt;&gt;"")*ISNUMBER(SEARCH('Master Tracker'!$A$6:$A$400,D12))*('Master Tracker'!$G$6:$G$400="Completed"))</f>
        <v>0</v>
      </c>
      <c r="G12" t="str">
        <f>IF(E12=0,"⚠ UNMAPPED",IF(F12=E12,"✓ Delivered",F12&amp;" / "&amp;E12&amp;" done"))</f>
        <v>0 / 2 done</v>
      </c>
    </row>
    <row r="13">
      <c r="A13" t="str">
        <v>REQ-08</v>
      </c>
      <c r="B13" t="str">
        <v>Phase 2</v>
      </c>
      <c r="C13" t="str">
        <v>Homepage hero</v>
      </c>
      <c r="D13" t="str">
        <v>P2-09</v>
      </c>
      <c r="E13">
        <f>SUMPRODUCT(('Master Tracker'!$A$6:$A$400&lt;&gt;"")*ISNUMBER(SEARCH('Master Tracker'!$A$6:$A$400,D13)))</f>
        <v>1</v>
      </c>
      <c r="F13">
        <f>SUMPRODUCT(('Master Tracker'!$A$6:$A$400&lt;&gt;"")*ISNUMBER(SEARCH('Master Tracker'!$A$6:$A$400,D13))*('Master Tracker'!$G$6:$G$400="Completed"))</f>
        <v>0</v>
      </c>
      <c r="G13" t="str">
        <f>IF(E13=0,"⚠ UNMAPPED",IF(F13=E13,"✓ Delivered",F13&amp;" / "&amp;E13&amp;" done"))</f>
        <v>0 / 1 done</v>
      </c>
    </row>
    <row r="14">
      <c r="A14" t="str">
        <v>REQ-09</v>
      </c>
      <c r="B14" t="str">
        <v>Phase 2</v>
      </c>
      <c r="C14" t="str">
        <v>Breaking news ticker</v>
      </c>
      <c r="D14" t="str">
        <v>P2-10</v>
      </c>
      <c r="E14">
        <f>SUMPRODUCT(('Master Tracker'!$A$6:$A$400&lt;&gt;"")*ISNUMBER(SEARCH('Master Tracker'!$A$6:$A$400,D14)))</f>
        <v>1</v>
      </c>
      <c r="F14">
        <f>SUMPRODUCT(('Master Tracker'!$A$6:$A$400&lt;&gt;"")*ISNUMBER(SEARCH('Master Tracker'!$A$6:$A$400,D14))*('Master Tracker'!$G$6:$G$400="Completed"))</f>
        <v>0</v>
      </c>
      <c r="G14" t="str">
        <f>IF(E14=0,"⚠ UNMAPPED",IF(F14=E14,"✓ Delivered",F14&amp;" / "&amp;E14&amp;" done"))</f>
        <v>0 / 1 done</v>
      </c>
    </row>
    <row r="15">
      <c r="A15" t="str">
        <v>REQ-10</v>
      </c>
      <c r="B15" t="str">
        <v>Phase 2</v>
      </c>
      <c r="C15" t="str">
        <v>Magazine cover slider</v>
      </c>
      <c r="D15" t="str">
        <v>P2-11</v>
      </c>
      <c r="E15">
        <f>SUMPRODUCT(('Master Tracker'!$A$6:$A$400&lt;&gt;"")*ISNUMBER(SEARCH('Master Tracker'!$A$6:$A$400,D15)))</f>
        <v>1</v>
      </c>
      <c r="F15">
        <f>SUMPRODUCT(('Master Tracker'!$A$6:$A$400&lt;&gt;"")*ISNUMBER(SEARCH('Master Tracker'!$A$6:$A$400,D15))*('Master Tracker'!$G$6:$G$400="Completed"))</f>
        <v>0</v>
      </c>
      <c r="G15" t="str">
        <f>IF(E15=0,"⚠ UNMAPPED",IF(F15=E15,"✓ Delivered",F15&amp;" / "&amp;E15&amp;" done"))</f>
        <v>0 / 1 done</v>
      </c>
    </row>
    <row r="16">
      <c r="A16" t="str">
        <v>REQ-11</v>
      </c>
      <c r="B16" t="str">
        <v>Phase 2</v>
      </c>
      <c r="C16" t="str">
        <v>Chamber and opinion sections</v>
      </c>
      <c r="D16" t="str">
        <v>P2-12, P2-13</v>
      </c>
      <c r="E16">
        <f>SUMPRODUCT(('Master Tracker'!$A$6:$A$400&lt;&gt;"")*ISNUMBER(SEARCH('Master Tracker'!$A$6:$A$400,D16)))</f>
        <v>2</v>
      </c>
      <c r="F16">
        <f>SUMPRODUCT(('Master Tracker'!$A$6:$A$400&lt;&gt;"")*ISNUMBER(SEARCH('Master Tracker'!$A$6:$A$400,D16))*('Master Tracker'!$G$6:$G$400="Completed"))</f>
        <v>0</v>
      </c>
      <c r="G16" t="str">
        <f>IF(E16=0,"⚠ UNMAPPED",IF(F16=E16,"✓ Delivered",F16&amp;" / "&amp;E16&amp;" done"))</f>
        <v>0 / 2 done</v>
      </c>
    </row>
    <row r="17">
      <c r="A17" t="str">
        <v>REQ-12</v>
      </c>
      <c r="B17" t="str">
        <v>Phase 2</v>
      </c>
      <c r="C17" t="str">
        <v>Reports and article grids</v>
      </c>
      <c r="D17" t="str">
        <v>P2-14, P2-15</v>
      </c>
      <c r="E17">
        <f>SUMPRODUCT(('Master Tracker'!$A$6:$A$400&lt;&gt;"")*ISNUMBER(SEARCH('Master Tracker'!$A$6:$A$400,D17)))</f>
        <v>2</v>
      </c>
      <c r="F17">
        <f>SUMPRODUCT(('Master Tracker'!$A$6:$A$400&lt;&gt;"")*ISNUMBER(SEARCH('Master Tracker'!$A$6:$A$400,D17))*('Master Tracker'!$G$6:$G$400="Completed"))</f>
        <v>0</v>
      </c>
      <c r="G17" t="str">
        <f>IF(E17=0,"⚠ UNMAPPED",IF(F17=E17,"✓ Delivered",F17&amp;" / "&amp;E17&amp;" done"))</f>
        <v>0 / 2 done</v>
      </c>
    </row>
    <row r="18">
      <c r="A18" t="str">
        <v>REQ-13</v>
      </c>
      <c r="B18" t="str">
        <v>Phase 2</v>
      </c>
      <c r="C18" t="str">
        <v>Business, real estate, automotive, technology, healthcare, tourism sections</v>
      </c>
      <c r="D18" t="str">
        <v>P2-16, P2-17, P2-18, P2-19, P2-20, P2-21</v>
      </c>
      <c r="E18">
        <f>SUMPRODUCT(('Master Tracker'!$A$6:$A$400&lt;&gt;"")*ISNUMBER(SEARCH('Master Tracker'!$A$6:$A$400,D18)))</f>
        <v>6</v>
      </c>
      <c r="F18">
        <f>SUMPRODUCT(('Master Tracker'!$A$6:$A$400&lt;&gt;"")*ISNUMBER(SEARCH('Master Tracker'!$A$6:$A$400,D18))*('Master Tracker'!$G$6:$G$400="Completed"))</f>
        <v>0</v>
      </c>
      <c r="G18" t="str">
        <f>IF(E18=0,"⚠ UNMAPPED",IF(F18=E18,"✓ Delivered",F18&amp;" / "&amp;E18&amp;" done"))</f>
        <v>0 / 6 done</v>
      </c>
    </row>
    <row r="19">
      <c r="A19" t="str">
        <v>REQ-14</v>
      </c>
      <c r="B19" t="str">
        <v>Phase 2</v>
      </c>
      <c r="C19" t="str">
        <v>Most-read widget</v>
      </c>
      <c r="D19" t="str">
        <v>P2-22</v>
      </c>
      <c r="E19">
        <f>SUMPRODUCT(('Master Tracker'!$A$6:$A$400&lt;&gt;"")*ISNUMBER(SEARCH('Master Tracker'!$A$6:$A$400,D19)))</f>
        <v>1</v>
      </c>
      <c r="F19">
        <f>SUMPRODUCT(('Master Tracker'!$A$6:$A$400&lt;&gt;"")*ISNUMBER(SEARCH('Master Tracker'!$A$6:$A$400,D19))*('Master Tracker'!$G$6:$G$400="Completed"))</f>
        <v>0</v>
      </c>
      <c r="G19" t="str">
        <f>IF(E19=0,"⚠ UNMAPPED",IF(F19=E19,"✓ Delivered",F19&amp;" / "&amp;E19&amp;" done"))</f>
        <v>0 / 1 done</v>
      </c>
    </row>
    <row r="20">
      <c r="A20" t="str">
        <v>REQ-15</v>
      </c>
      <c r="B20" t="str">
        <v>Phase 2</v>
      </c>
      <c r="C20" t="str">
        <v>WordPress Customizer and Section Manager</v>
      </c>
      <c r="D20" t="str">
        <v>P2-01, P2-02</v>
      </c>
      <c r="E20">
        <f>SUMPRODUCT(('Master Tracker'!$A$6:$A$400&lt;&gt;"")*ISNUMBER(SEARCH('Master Tracker'!$A$6:$A$400,D20)))</f>
        <v>2</v>
      </c>
      <c r="F20">
        <f>SUMPRODUCT(('Master Tracker'!$A$6:$A$400&lt;&gt;"")*ISNUMBER(SEARCH('Master Tracker'!$A$6:$A$400,D20))*('Master Tracker'!$G$6:$G$400="Completed"))</f>
        <v>0</v>
      </c>
      <c r="G20" t="str">
        <f>IF(E20=0,"⚠ UNMAPPED",IF(F20=E20,"✓ Delivered",F20&amp;" / "&amp;E20&amp;" done"))</f>
        <v>0 / 2 done</v>
      </c>
    </row>
    <row r="21">
      <c r="A21" t="str">
        <v>REQ-16</v>
      </c>
      <c r="B21" t="str">
        <v>Phase 2</v>
      </c>
      <c r="C21" t="str">
        <v>Dynamic category/tag selection</v>
      </c>
      <c r="D21" t="str">
        <v>P2-03</v>
      </c>
      <c r="E21">
        <f>SUMPRODUCT(('Master Tracker'!$A$6:$A$400&lt;&gt;"")*ISNUMBER(SEARCH('Master Tracker'!$A$6:$A$400,D21)))</f>
        <v>1</v>
      </c>
      <c r="F21">
        <f>SUMPRODUCT(('Master Tracker'!$A$6:$A$400&lt;&gt;"")*ISNUMBER(SEARCH('Master Tracker'!$A$6:$A$400,D21))*('Master Tracker'!$G$6:$G$400="Completed"))</f>
        <v>0</v>
      </c>
      <c r="G21" t="str">
        <f>IF(E21=0,"⚠ UNMAPPED",IF(F21=E21,"✓ Delivered",F21&amp;" / "&amp;E21&amp;" done"))</f>
        <v>0 / 1 done</v>
      </c>
    </row>
    <row r="22">
      <c r="A22" t="str">
        <v>REQ-17</v>
      </c>
      <c r="B22" t="str">
        <v>Phase 2</v>
      </c>
      <c r="C22" t="str">
        <v>Post counts, sorting, offsets and manual post selection</v>
      </c>
      <c r="D22" t="str">
        <v>P2-04, P2-05</v>
      </c>
      <c r="E22">
        <f>SUMPRODUCT(('Master Tracker'!$A$6:$A$400&lt;&gt;"")*ISNUMBER(SEARCH('Master Tracker'!$A$6:$A$400,D22)))</f>
        <v>2</v>
      </c>
      <c r="F22">
        <f>SUMPRODUCT(('Master Tracker'!$A$6:$A$400&lt;&gt;"")*ISNUMBER(SEARCH('Master Tracker'!$A$6:$A$400,D22))*('Master Tracker'!$G$6:$G$400="Completed"))</f>
        <v>0</v>
      </c>
      <c r="G22" t="str">
        <f>IF(E22=0,"⚠ UNMAPPED",IF(F22=E22,"✓ Delivered",F22&amp;" / "&amp;E22&amp;" done"))</f>
        <v>0 / 2 done</v>
      </c>
    </row>
    <row r="23">
      <c r="A23" t="str">
        <v>REQ-18</v>
      </c>
      <c r="B23" t="str">
        <v>Phase 2</v>
      </c>
      <c r="C23" t="str">
        <v>Layout switching, section visibility and cache controls</v>
      </c>
      <c r="D23" t="str">
        <v>P2-06, P2-07, P2-08</v>
      </c>
      <c r="E23">
        <f>SUMPRODUCT(('Master Tracker'!$A$6:$A$400&lt;&gt;"")*ISNUMBER(SEARCH('Master Tracker'!$A$6:$A$400,D23)))</f>
        <v>3</v>
      </c>
      <c r="F23">
        <f>SUMPRODUCT(('Master Tracker'!$A$6:$A$400&lt;&gt;"")*ISNUMBER(SEARCH('Master Tracker'!$A$6:$A$400,D23))*('Master Tracker'!$G$6:$G$400="Completed"))</f>
        <v>0</v>
      </c>
      <c r="G23" t="str">
        <f>IF(E23=0,"⚠ UNMAPPED",IF(F23=E23,"✓ Delivered",F23&amp;" / "&amp;E23&amp;" done"))</f>
        <v>0 / 3 done</v>
      </c>
    </row>
    <row r="24">
      <c r="A24" t="str">
        <v>REQ-19</v>
      </c>
      <c r="B24" t="str">
        <v>Phase 3</v>
      </c>
      <c r="C24" t="str">
        <v>Single article template</v>
      </c>
      <c r="D24" t="str">
        <v>P3-01, P3-03</v>
      </c>
      <c r="E24">
        <f>SUMPRODUCT(('Master Tracker'!$A$6:$A$400&lt;&gt;"")*ISNUMBER(SEARCH('Master Tracker'!$A$6:$A$400,D24)))</f>
        <v>2</v>
      </c>
      <c r="F24">
        <f>SUMPRODUCT(('Master Tracker'!$A$6:$A$400&lt;&gt;"")*ISNUMBER(SEARCH('Master Tracker'!$A$6:$A$400,D24))*('Master Tracker'!$G$6:$G$400="Completed"))</f>
        <v>0</v>
      </c>
      <c r="G24" t="str">
        <f>IF(E24=0,"⚠ UNMAPPED",IF(F24=E24,"✓ Delivered",F24&amp;" / "&amp;E24&amp;" done"))</f>
        <v>0 / 2 done</v>
      </c>
    </row>
    <row r="25">
      <c r="A25" t="str">
        <v>REQ-20</v>
      </c>
      <c r="B25" t="str">
        <v>Phase 3</v>
      </c>
      <c r="C25" t="str">
        <v>Category archives</v>
      </c>
      <c r="D25" t="str">
        <v>P3-09, P3-10</v>
      </c>
      <c r="E25">
        <f>SUMPRODUCT(('Master Tracker'!$A$6:$A$400&lt;&gt;"")*ISNUMBER(SEARCH('Master Tracker'!$A$6:$A$400,D25)))</f>
        <v>2</v>
      </c>
      <c r="F25">
        <f>SUMPRODUCT(('Master Tracker'!$A$6:$A$400&lt;&gt;"")*ISNUMBER(SEARCH('Master Tracker'!$A$6:$A$400,D25))*('Master Tracker'!$G$6:$G$400="Completed"))</f>
        <v>0</v>
      </c>
      <c r="G25" t="str">
        <f>IF(E25=0,"⚠ UNMAPPED",IF(F25=E25,"✓ Delivered",F25&amp;" / "&amp;E25&amp;" done"))</f>
        <v>0 / 2 done</v>
      </c>
    </row>
    <row r="26">
      <c r="A26" t="str">
        <v>REQ-21</v>
      </c>
      <c r="B26" t="str">
        <v>Phase 3</v>
      </c>
      <c r="C26" t="str">
        <v>Article metadata</v>
      </c>
      <c r="D26" t="str">
        <v>P3-02</v>
      </c>
      <c r="E26">
        <f>SUMPRODUCT(('Master Tracker'!$A$6:$A$400&lt;&gt;"")*ISNUMBER(SEARCH('Master Tracker'!$A$6:$A$400,D26)))</f>
        <v>1</v>
      </c>
      <c r="F26">
        <f>SUMPRODUCT(('Master Tracker'!$A$6:$A$400&lt;&gt;"")*ISNUMBER(SEARCH('Master Tracker'!$A$6:$A$400,D26))*('Master Tracker'!$G$6:$G$400="Completed"))</f>
        <v>0</v>
      </c>
      <c r="G26" t="str">
        <f>IF(E26=0,"⚠ UNMAPPED",IF(F26=E26,"✓ Delivered",F26&amp;" / "&amp;E26&amp;" done"))</f>
        <v>0 / 1 done</v>
      </c>
    </row>
    <row r="27">
      <c r="A27" t="str">
        <v>REQ-22</v>
      </c>
      <c r="B27" t="str">
        <v>Phase 3</v>
      </c>
      <c r="C27" t="str">
        <v>Author profiles</v>
      </c>
      <c r="D27" t="str">
        <v>P3-08</v>
      </c>
      <c r="E27">
        <f>SUMPRODUCT(('Master Tracker'!$A$6:$A$400&lt;&gt;"")*ISNUMBER(SEARCH('Master Tracker'!$A$6:$A$400,D27)))</f>
        <v>1</v>
      </c>
      <c r="F27">
        <f>SUMPRODUCT(('Master Tracker'!$A$6:$A$400&lt;&gt;"")*ISNUMBER(SEARCH('Master Tracker'!$A$6:$A$400,D27))*('Master Tracker'!$G$6:$G$400="Completed"))</f>
        <v>0</v>
      </c>
      <c r="G27" t="str">
        <f>IF(E27=0,"⚠ UNMAPPED",IF(F27=E27,"✓ Delivered",F27&amp;" / "&amp;E27&amp;" done"))</f>
        <v>0 / 1 done</v>
      </c>
    </row>
    <row r="28">
      <c r="A28" t="str">
        <v>REQ-23</v>
      </c>
      <c r="B28" t="str">
        <v>Phase 3</v>
      </c>
      <c r="C28" t="str">
        <v>Reading progress bar</v>
      </c>
      <c r="D28" t="str">
        <v>P3-04</v>
      </c>
      <c r="E28">
        <f>SUMPRODUCT(('Master Tracker'!$A$6:$A$400&lt;&gt;"")*ISNUMBER(SEARCH('Master Tracker'!$A$6:$A$400,D28)))</f>
        <v>1</v>
      </c>
      <c r="F28">
        <f>SUMPRODUCT(('Master Tracker'!$A$6:$A$400&lt;&gt;"")*ISNUMBER(SEARCH('Master Tracker'!$A$6:$A$400,D28))*('Master Tracker'!$G$6:$G$400="Completed"))</f>
        <v>0</v>
      </c>
      <c r="G28" t="str">
        <f>IF(E28=0,"⚠ UNMAPPED",IF(F28=E28,"✓ Delivered",F28&amp;" / "&amp;E28&amp;" done"))</f>
        <v>0 / 1 done</v>
      </c>
    </row>
    <row r="29">
      <c r="A29" t="str">
        <v>REQ-24</v>
      </c>
      <c r="B29" t="str">
        <v>Phase 3</v>
      </c>
      <c r="C29" t="str">
        <v>Social sharing</v>
      </c>
      <c r="D29" t="str">
        <v>P3-05</v>
      </c>
      <c r="E29">
        <f>SUMPRODUCT(('Master Tracker'!$A$6:$A$400&lt;&gt;"")*ISNUMBER(SEARCH('Master Tracker'!$A$6:$A$400,D29)))</f>
        <v>1</v>
      </c>
      <c r="F29">
        <f>SUMPRODUCT(('Master Tracker'!$A$6:$A$400&lt;&gt;"")*ISNUMBER(SEARCH('Master Tracker'!$A$6:$A$400,D29))*('Master Tracker'!$G$6:$G$400="Completed"))</f>
        <v>0</v>
      </c>
      <c r="G29" t="str">
        <f>IF(E29=0,"⚠ UNMAPPED",IF(F29=E29,"✓ Delivered",F29&amp;" / "&amp;E29&amp;" done"))</f>
        <v>0 / 1 done</v>
      </c>
    </row>
    <row r="30">
      <c r="A30" t="str">
        <v>REQ-25</v>
      </c>
      <c r="B30" t="str">
        <v>Phase 3</v>
      </c>
      <c r="C30" t="str">
        <v>Advertisement injection</v>
      </c>
      <c r="D30" t="str">
        <v>P3-06</v>
      </c>
      <c r="E30">
        <f>SUMPRODUCT(('Master Tracker'!$A$6:$A$400&lt;&gt;"")*ISNUMBER(SEARCH('Master Tracker'!$A$6:$A$400,D30)))</f>
        <v>1</v>
      </c>
      <c r="F30">
        <f>SUMPRODUCT(('Master Tracker'!$A$6:$A$400&lt;&gt;"")*ISNUMBER(SEARCH('Master Tracker'!$A$6:$A$400,D30))*('Master Tracker'!$G$6:$G$400="Completed"))</f>
        <v>0</v>
      </c>
      <c r="G30" t="str">
        <f>IF(E30=0,"⚠ UNMAPPED",IF(F30=E30,"✓ Delivered",F30&amp;" / "&amp;E30&amp;" done"))</f>
        <v>0 / 1 done</v>
      </c>
    </row>
    <row r="31">
      <c r="A31" t="str">
        <v>REQ-26</v>
      </c>
      <c r="B31" t="str">
        <v>Phase 3</v>
      </c>
      <c r="C31" t="str">
        <v>Related articles</v>
      </c>
      <c r="D31" t="str">
        <v>P3-07</v>
      </c>
      <c r="E31">
        <f>SUMPRODUCT(('Master Tracker'!$A$6:$A$400&lt;&gt;"")*ISNUMBER(SEARCH('Master Tracker'!$A$6:$A$400,D31)))</f>
        <v>1</v>
      </c>
      <c r="F31">
        <f>SUMPRODUCT(('Master Tracker'!$A$6:$A$400&lt;&gt;"")*ISNUMBER(SEARCH('Master Tracker'!$A$6:$A$400,D31))*('Master Tracker'!$G$6:$G$400="Completed"))</f>
        <v>0</v>
      </c>
      <c r="G31" t="str">
        <f>IF(E31=0,"⚠ UNMAPPED",IF(F31=E31,"✓ Delivered",F31&amp;" / "&amp;E31&amp;" done"))</f>
        <v>0 / 1 done</v>
      </c>
    </row>
    <row r="32">
      <c r="A32" t="str">
        <v>REQ-27</v>
      </c>
      <c r="B32" t="str">
        <v>Phase 3</v>
      </c>
      <c r="C32" t="str">
        <v>AJAX filtering</v>
      </c>
      <c r="D32" t="str">
        <v>P3-11</v>
      </c>
      <c r="E32">
        <f>SUMPRODUCT(('Master Tracker'!$A$6:$A$400&lt;&gt;"")*ISNUMBER(SEARCH('Master Tracker'!$A$6:$A$400,D32)))</f>
        <v>1</v>
      </c>
      <c r="F32">
        <f>SUMPRODUCT(('Master Tracker'!$A$6:$A$400&lt;&gt;"")*ISNUMBER(SEARCH('Master Tracker'!$A$6:$A$400,D32))*('Master Tracker'!$G$6:$G$400="Completed"))</f>
        <v>0</v>
      </c>
      <c r="G32" t="str">
        <f>IF(E32=0,"⚠ UNMAPPED",IF(F32=E32,"✓ Delivered",F32&amp;" / "&amp;E32&amp;" done"))</f>
        <v>0 / 1 done</v>
      </c>
    </row>
    <row r="33">
      <c r="A33" t="str">
        <v>REQ-28</v>
      </c>
      <c r="B33" t="str">
        <v>Phase 3</v>
      </c>
      <c r="C33" t="str">
        <v>Grid/list switching</v>
      </c>
      <c r="D33" t="str">
        <v>P3-12</v>
      </c>
      <c r="E33">
        <f>SUMPRODUCT(('Master Tracker'!$A$6:$A$400&lt;&gt;"")*ISNUMBER(SEARCH('Master Tracker'!$A$6:$A$400,D33)))</f>
        <v>1</v>
      </c>
      <c r="F33">
        <f>SUMPRODUCT(('Master Tracker'!$A$6:$A$400&lt;&gt;"")*ISNUMBER(SEARCH('Master Tracker'!$A$6:$A$400,D33))*('Master Tracker'!$G$6:$G$400="Completed"))</f>
        <v>0</v>
      </c>
      <c r="G33" t="str">
        <f>IF(E33=0,"⚠ UNMAPPED",IF(F33=E33,"✓ Delivered",F33&amp;" / "&amp;E33&amp;" done"))</f>
        <v>0 / 1 done</v>
      </c>
    </row>
    <row r="34">
      <c r="A34" t="str">
        <v>REQ-29</v>
      </c>
      <c r="B34" t="str">
        <v>Phase 3</v>
      </c>
      <c r="C34" t="str">
        <v>Pagination</v>
      </c>
      <c r="D34" t="str">
        <v>P3-13</v>
      </c>
      <c r="E34">
        <f>SUMPRODUCT(('Master Tracker'!$A$6:$A$400&lt;&gt;"")*ISNUMBER(SEARCH('Master Tracker'!$A$6:$A$400,D34)))</f>
        <v>1</v>
      </c>
      <c r="F34">
        <f>SUMPRODUCT(('Master Tracker'!$A$6:$A$400&lt;&gt;"")*ISNUMBER(SEARCH('Master Tracker'!$A$6:$A$400,D34))*('Master Tracker'!$G$6:$G$400="Completed"))</f>
        <v>0</v>
      </c>
      <c r="G34" t="str">
        <f>IF(E34=0,"⚠ UNMAPPED",IF(F34=E34,"✓ Delivered",F34&amp;" / "&amp;E34&amp;" done"))</f>
        <v>0 / 1 done</v>
      </c>
    </row>
    <row r="35">
      <c r="A35" t="str">
        <v>REQ-30</v>
      </c>
      <c r="B35" t="str">
        <v>Phase 3</v>
      </c>
      <c r="C35" t="str">
        <v>Print stylesheet</v>
      </c>
      <c r="D35" t="str">
        <v>P3-14</v>
      </c>
      <c r="E35">
        <f>SUMPRODUCT(('Master Tracker'!$A$6:$A$400&lt;&gt;"")*ISNUMBER(SEARCH('Master Tracker'!$A$6:$A$400,D35)))</f>
        <v>1</v>
      </c>
      <c r="F35">
        <f>SUMPRODUCT(('Master Tracker'!$A$6:$A$400&lt;&gt;"")*ISNUMBER(SEARCH('Master Tracker'!$A$6:$A$400,D35))*('Master Tracker'!$G$6:$G$400="Completed"))</f>
        <v>0</v>
      </c>
      <c r="G35" t="str">
        <f>IF(E35=0,"⚠ UNMAPPED",IF(F35=E35,"✓ Delivered",F35&amp;" / "&amp;E35&amp;" done"))</f>
        <v>0 / 1 done</v>
      </c>
    </row>
    <row r="36">
      <c r="A36" t="str">
        <v>REQ-31</v>
      </c>
      <c r="B36" t="str">
        <v>Phase 3</v>
      </c>
      <c r="C36" t="str">
        <v>SEO compatibility</v>
      </c>
      <c r="D36" t="str">
        <v>P3-15</v>
      </c>
      <c r="E36">
        <f>SUMPRODUCT(('Master Tracker'!$A$6:$A$400&lt;&gt;"")*ISNUMBER(SEARCH('Master Tracker'!$A$6:$A$400,D36)))</f>
        <v>1</v>
      </c>
      <c r="F36">
        <f>SUMPRODUCT(('Master Tracker'!$A$6:$A$400&lt;&gt;"")*ISNUMBER(SEARCH('Master Tracker'!$A$6:$A$400,D36))*('Master Tracker'!$G$6:$G$400="Completed"))</f>
        <v>0</v>
      </c>
      <c r="G36" t="str">
        <f>IF(E36=0,"⚠ UNMAPPED",IF(F36=E36,"✓ Delivered",F36&amp;" / "&amp;E36&amp;" done"))</f>
        <v>0 / 1 done</v>
      </c>
    </row>
    <row r="37">
      <c r="A37" t="str">
        <v>REQ-32</v>
      </c>
      <c r="B37" t="str">
        <v>Phase 4</v>
      </c>
      <c r="C37" t="str">
        <v>Magazine issue custom post type</v>
      </c>
      <c r="D37" t="str">
        <v>P4-01, P4-02</v>
      </c>
      <c r="E37">
        <f>SUMPRODUCT(('Master Tracker'!$A$6:$A$400&lt;&gt;"")*ISNUMBER(SEARCH('Master Tracker'!$A$6:$A$400,D37)))</f>
        <v>2</v>
      </c>
      <c r="F37">
        <f>SUMPRODUCT(('Master Tracker'!$A$6:$A$400&lt;&gt;"")*ISNUMBER(SEARCH('Master Tracker'!$A$6:$A$400,D37))*('Master Tracker'!$G$6:$G$400="Completed"))</f>
        <v>0</v>
      </c>
      <c r="G37" t="str">
        <f>IF(E37=0,"⚠ UNMAPPED",IF(F37=E37,"✓ Delivered",F37&amp;" / "&amp;E37&amp;" done"))</f>
        <v>0 / 2 done</v>
      </c>
    </row>
    <row r="38">
      <c r="A38" t="str">
        <v>REQ-33</v>
      </c>
      <c r="B38" t="str">
        <v>Phase 4</v>
      </c>
      <c r="C38" t="str">
        <v>Issue archive</v>
      </c>
      <c r="D38" t="str">
        <v>P4-06</v>
      </c>
      <c r="E38">
        <f>SUMPRODUCT(('Master Tracker'!$A$6:$A$400&lt;&gt;"")*ISNUMBER(SEARCH('Master Tracker'!$A$6:$A$400,D38)))</f>
        <v>1</v>
      </c>
      <c r="F38">
        <f>SUMPRODUCT(('Master Tracker'!$A$6:$A$400&lt;&gt;"")*ISNUMBER(SEARCH('Master Tracker'!$A$6:$A$400,D38))*('Master Tracker'!$G$6:$G$400="Completed"))</f>
        <v>0</v>
      </c>
      <c r="G38" t="str">
        <f>IF(E38=0,"⚠ UNMAPPED",IF(F38=E38,"✓ Delivered",F38&amp;" / "&amp;E38&amp;" done"))</f>
        <v>0 / 1 done</v>
      </c>
    </row>
    <row r="39">
      <c r="A39" t="str">
        <v>REQ-34</v>
      </c>
      <c r="B39" t="str">
        <v>Phase 4</v>
      </c>
      <c r="C39" t="str">
        <v>Single issue page</v>
      </c>
      <c r="D39" t="str">
        <v>P4-08</v>
      </c>
      <c r="E39">
        <f>SUMPRODUCT(('Master Tracker'!$A$6:$A$400&lt;&gt;"")*ISNUMBER(SEARCH('Master Tracker'!$A$6:$A$400,D39)))</f>
        <v>1</v>
      </c>
      <c r="F39">
        <f>SUMPRODUCT(('Master Tracker'!$A$6:$A$400&lt;&gt;"")*ISNUMBER(SEARCH('Master Tracker'!$A$6:$A$400,D39))*('Master Tracker'!$G$6:$G$400="Completed"))</f>
        <v>0</v>
      </c>
      <c r="G39" t="str">
        <f>IF(E39=0,"⚠ UNMAPPED",IF(F39=E39,"✓ Delivered",F39&amp;" / "&amp;E39&amp;" done"))</f>
        <v>0 / 1 done</v>
      </c>
    </row>
    <row r="40">
      <c r="A40" t="str">
        <v>REQ-35</v>
      </c>
      <c r="B40" t="str">
        <v>Phase 4</v>
      </c>
      <c r="C40" t="str">
        <v>Historical issue migration</v>
      </c>
      <c r="D40" t="str">
        <v>P4-03, P4-04</v>
      </c>
      <c r="E40">
        <f>SUMPRODUCT(('Master Tracker'!$A$6:$A$400&lt;&gt;"")*ISNUMBER(SEARCH('Master Tracker'!$A$6:$A$400,D40)))</f>
        <v>2</v>
      </c>
      <c r="F40">
        <f>SUMPRODUCT(('Master Tracker'!$A$6:$A$400&lt;&gt;"")*ISNUMBER(SEARCH('Master Tracker'!$A$6:$A$400,D40))*('Master Tracker'!$G$6:$G$400="Completed"))</f>
        <v>0</v>
      </c>
      <c r="G40" t="str">
        <f>IF(E40=0,"⚠ UNMAPPED",IF(F40=E40,"✓ Delivered",F40&amp;" / "&amp;E40&amp;" done"))</f>
        <v>0 / 2 done</v>
      </c>
    </row>
    <row r="41">
      <c r="A41" t="str">
        <v>REQ-36</v>
      </c>
      <c r="B41" t="str">
        <v>Phase 4</v>
      </c>
      <c r="C41" t="str">
        <v>All 48 magazine issues</v>
      </c>
      <c r="D41" t="str">
        <v>P4-04, P4-12</v>
      </c>
      <c r="E41">
        <f>SUMPRODUCT(('Master Tracker'!$A$6:$A$400&lt;&gt;"")*ISNUMBER(SEARCH('Master Tracker'!$A$6:$A$400,D41)))</f>
        <v>2</v>
      </c>
      <c r="F41">
        <f>SUMPRODUCT(('Master Tracker'!$A$6:$A$400&lt;&gt;"")*ISNUMBER(SEARCH('Master Tracker'!$A$6:$A$400,D41))*('Master Tracker'!$G$6:$G$400="Completed"))</f>
        <v>0</v>
      </c>
      <c r="G41" t="str">
        <f>IF(E41=0,"⚠ UNMAPPED",IF(F41=E41,"✓ Delivered",F41&amp;" / "&amp;E41&amp;" done"))</f>
        <v>0 / 2 done</v>
      </c>
    </row>
    <row r="42">
      <c r="A42" t="str">
        <v>REQ-37</v>
      </c>
      <c r="B42" t="str">
        <v>Phase 4</v>
      </c>
      <c r="C42" t="str">
        <v>Cover images</v>
      </c>
      <c r="D42" t="str">
        <v>P4-05</v>
      </c>
      <c r="E42">
        <f>SUMPRODUCT(('Master Tracker'!$A$6:$A$400&lt;&gt;"")*ISNUMBER(SEARCH('Master Tracker'!$A$6:$A$400,D42)))</f>
        <v>1</v>
      </c>
      <c r="F42">
        <f>SUMPRODUCT(('Master Tracker'!$A$6:$A$400&lt;&gt;"")*ISNUMBER(SEARCH('Master Tracker'!$A$6:$A$400,D42))*('Master Tracker'!$G$6:$G$400="Completed"))</f>
        <v>0</v>
      </c>
      <c r="G42" t="str">
        <f>IF(E42=0,"⚠ UNMAPPED",IF(F42=E42,"✓ Delivered",F42&amp;" / "&amp;E42&amp;" done"))</f>
        <v>0 / 1 done</v>
      </c>
    </row>
    <row r="43">
      <c r="A43" t="str">
        <v>REQ-38</v>
      </c>
      <c r="B43" t="str">
        <v>Phase 4</v>
      </c>
      <c r="C43" t="str">
        <v>Year and decade filtering</v>
      </c>
      <c r="D43" t="str">
        <v>P4-07</v>
      </c>
      <c r="E43">
        <f>SUMPRODUCT(('Master Tracker'!$A$6:$A$400&lt;&gt;"")*ISNUMBER(SEARCH('Master Tracker'!$A$6:$A$400,D43)))</f>
        <v>1</v>
      </c>
      <c r="F43">
        <f>SUMPRODUCT(('Master Tracker'!$A$6:$A$400&lt;&gt;"")*ISNUMBER(SEARCH('Master Tracker'!$A$6:$A$400,D43))*('Master Tracker'!$G$6:$G$400="Completed"))</f>
        <v>0</v>
      </c>
      <c r="G43" t="str">
        <f>IF(E43=0,"⚠ UNMAPPED",IF(F43=E43,"✓ Delivered",F43&amp;" / "&amp;E43&amp;" done"))</f>
        <v>0 / 1 done</v>
      </c>
    </row>
    <row r="44">
      <c r="A44" t="str">
        <v>REQ-39</v>
      </c>
      <c r="B44" t="str">
        <v>Phase 4</v>
      </c>
      <c r="C44" t="str">
        <v>Flipbook reader</v>
      </c>
      <c r="D44" t="str">
        <v>P4-09</v>
      </c>
      <c r="E44">
        <f>SUMPRODUCT(('Master Tracker'!$A$6:$A$400&lt;&gt;"")*ISNUMBER(SEARCH('Master Tracker'!$A$6:$A$400,D44)))</f>
        <v>1</v>
      </c>
      <c r="F44">
        <f>SUMPRODUCT(('Master Tracker'!$A$6:$A$400&lt;&gt;"")*ISNUMBER(SEARCH('Master Tracker'!$A$6:$A$400,D44))*('Master Tracker'!$G$6:$G$400="Completed"))</f>
        <v>0</v>
      </c>
      <c r="G44" t="str">
        <f>IF(E44=0,"⚠ UNMAPPED",IF(F44=E44,"✓ Delivered",F44&amp;" / "&amp;E44&amp;" done"))</f>
        <v>0 / 1 done</v>
      </c>
    </row>
    <row r="45">
      <c r="A45" t="str">
        <v>REQ-40</v>
      </c>
      <c r="B45" t="str">
        <v>Phase 4</v>
      </c>
      <c r="C45" t="str">
        <v>PDF downloads</v>
      </c>
      <c r="D45" t="str">
        <v>P4-10</v>
      </c>
      <c r="E45">
        <f>SUMPRODUCT(('Master Tracker'!$A$6:$A$400&lt;&gt;"")*ISNUMBER(SEARCH('Master Tracker'!$A$6:$A$400,D45)))</f>
        <v>1</v>
      </c>
      <c r="F45">
        <f>SUMPRODUCT(('Master Tracker'!$A$6:$A$400&lt;&gt;"")*ISNUMBER(SEARCH('Master Tracker'!$A$6:$A$400,D45))*('Master Tracker'!$G$6:$G$400="Completed"))</f>
        <v>0</v>
      </c>
      <c r="G45" t="str">
        <f>IF(E45=0,"⚠ UNMAPPED",IF(F45=E45,"✓ Delivered",F45&amp;" / "&amp;E45&amp;" done"))</f>
        <v>0 / 1 done</v>
      </c>
    </row>
    <row r="46">
      <c r="A46" t="str">
        <v>REQ-41</v>
      </c>
      <c r="B46" t="str">
        <v>Phase 4</v>
      </c>
      <c r="C46" t="str">
        <v>Access restrictions</v>
      </c>
      <c r="D46" t="str">
        <v>P4-11</v>
      </c>
      <c r="E46">
        <f>SUMPRODUCT(('Master Tracker'!$A$6:$A$400&lt;&gt;"")*ISNUMBER(SEARCH('Master Tracker'!$A$6:$A$400,D46)))</f>
        <v>1</v>
      </c>
      <c r="F46">
        <f>SUMPRODUCT(('Master Tracker'!$A$6:$A$400&lt;&gt;"")*ISNUMBER(SEARCH('Master Tracker'!$A$6:$A$400,D46))*('Master Tracker'!$G$6:$G$400="Completed"))</f>
        <v>0</v>
      </c>
      <c r="G46" t="str">
        <f>IF(E46=0,"⚠ UNMAPPED",IF(F46=E46,"✓ Delivered",F46&amp;" / "&amp;E46&amp;" done"))</f>
        <v>0 / 1 done</v>
      </c>
    </row>
    <row r="47">
      <c r="A47" t="str">
        <v>REQ-42</v>
      </c>
      <c r="B47" t="str">
        <v>Phase 5</v>
      </c>
      <c r="C47" t="str">
        <v>Login, registration and password reset</v>
      </c>
      <c r="D47" t="str">
        <v>P5-04</v>
      </c>
      <c r="E47">
        <f>SUMPRODUCT(('Master Tracker'!$A$6:$A$400&lt;&gt;"")*ISNUMBER(SEARCH('Master Tracker'!$A$6:$A$400,D47)))</f>
        <v>1</v>
      </c>
      <c r="F47">
        <f>SUMPRODUCT(('Master Tracker'!$A$6:$A$400&lt;&gt;"")*ISNUMBER(SEARCH('Master Tracker'!$A$6:$A$400,D47))*('Master Tracker'!$G$6:$G$400="Completed"))</f>
        <v>0</v>
      </c>
      <c r="G47" t="str">
        <f>IF(E47=0,"⚠ UNMAPPED",IF(F47=E47,"✓ Delivered",F47&amp;" / "&amp;E47&amp;" done"))</f>
        <v>0 / 1 done</v>
      </c>
    </row>
    <row r="48">
      <c r="A48" t="str">
        <v>REQ-43</v>
      </c>
      <c r="B48" t="str">
        <v>Phase 5</v>
      </c>
      <c r="C48" t="str">
        <v>Google and Apple authentication</v>
      </c>
      <c r="D48" t="str">
        <v>P5-01, P5-02, P5-05, P5-06</v>
      </c>
      <c r="E48">
        <f>SUMPRODUCT(('Master Tracker'!$A$6:$A$400&lt;&gt;"")*ISNUMBER(SEARCH('Master Tracker'!$A$6:$A$400,D48)))</f>
        <v>4</v>
      </c>
      <c r="F48">
        <f>SUMPRODUCT(('Master Tracker'!$A$6:$A$400&lt;&gt;"")*ISNUMBER(SEARCH('Master Tracker'!$A$6:$A$400,D48))*('Master Tracker'!$G$6:$G$400="Completed"))</f>
        <v>0</v>
      </c>
      <c r="G48" t="str">
        <f>IF(E48=0,"⚠ UNMAPPED",IF(F48=E48,"✓ Delivered",F48&amp;" / "&amp;E48&amp;" done"))</f>
        <v>0 / 4 done</v>
      </c>
    </row>
    <row r="49">
      <c r="A49" t="str">
        <v>REQ-44</v>
      </c>
      <c r="B49" t="str">
        <v>Phase 5</v>
      </c>
      <c r="C49" t="str">
        <v>Member dashboard</v>
      </c>
      <c r="D49" t="str">
        <v>P5-11</v>
      </c>
      <c r="E49">
        <f>SUMPRODUCT(('Master Tracker'!$A$6:$A$400&lt;&gt;"")*ISNUMBER(SEARCH('Master Tracker'!$A$6:$A$400,D49)))</f>
        <v>1</v>
      </c>
      <c r="F49">
        <f>SUMPRODUCT(('Master Tracker'!$A$6:$A$400&lt;&gt;"")*ISNUMBER(SEARCH('Master Tracker'!$A$6:$A$400,D49))*('Master Tracker'!$G$6:$G$400="Completed"))</f>
        <v>0</v>
      </c>
      <c r="G49" t="str">
        <f>IF(E49=0,"⚠ UNMAPPED",IF(F49=E49,"✓ Delivered",F49&amp;" / "&amp;E49&amp;" done"))</f>
        <v>0 / 1 done</v>
      </c>
    </row>
    <row r="50">
      <c r="A50" t="str">
        <v>REQ-45</v>
      </c>
      <c r="B50" t="str">
        <v>Phase 5</v>
      </c>
      <c r="C50" t="str">
        <v>Security and rate limiting</v>
      </c>
      <c r="D50" t="str">
        <v>P5-12</v>
      </c>
      <c r="E50">
        <f>SUMPRODUCT(('Master Tracker'!$A$6:$A$400&lt;&gt;"")*ISNUMBER(SEARCH('Master Tracker'!$A$6:$A$400,D50)))</f>
        <v>1</v>
      </c>
      <c r="F50">
        <f>SUMPRODUCT(('Master Tracker'!$A$6:$A$400&lt;&gt;"")*ISNUMBER(SEARCH('Master Tracker'!$A$6:$A$400,D50))*('Master Tracker'!$G$6:$G$400="Completed"))</f>
        <v>0</v>
      </c>
      <c r="G50" t="str">
        <f>IF(E50=0,"⚠ UNMAPPED",IF(F50=E50,"✓ Delivered",F50&amp;" / "&amp;E50&amp;" done"))</f>
        <v>0 / 1 done</v>
      </c>
    </row>
    <row r="51">
      <c r="A51" t="str">
        <v>REQ-46</v>
      </c>
      <c r="B51" t="str">
        <v>Phase 5</v>
      </c>
      <c r="C51" t="str">
        <v>Subscription tiers</v>
      </c>
      <c r="D51" t="str">
        <v>P5-07, P5-10</v>
      </c>
      <c r="E51">
        <f>SUMPRODUCT(('Master Tracker'!$A$6:$A$400&lt;&gt;"")*ISNUMBER(SEARCH('Master Tracker'!$A$6:$A$400,D51)))</f>
        <v>2</v>
      </c>
      <c r="F51">
        <f>SUMPRODUCT(('Master Tracker'!$A$6:$A$400&lt;&gt;"")*ISNUMBER(SEARCH('Master Tracker'!$A$6:$A$400,D51))*('Master Tracker'!$G$6:$G$400="Completed"))</f>
        <v>0</v>
      </c>
      <c r="G51" t="str">
        <f>IF(E51=0,"⚠ UNMAPPED",IF(F51=E51,"✓ Delivered",F51&amp;" / "&amp;E51&amp;" done"))</f>
        <v>0 / 2 done</v>
      </c>
    </row>
    <row r="52">
      <c r="A52" t="str">
        <v>REQ-47</v>
      </c>
      <c r="B52" t="str">
        <v>Phase 5</v>
      </c>
      <c r="C52" t="str">
        <v>Payment gateway integration</v>
      </c>
      <c r="D52" t="str">
        <v>P5-03, P5-08</v>
      </c>
      <c r="E52">
        <f>SUMPRODUCT(('Master Tracker'!$A$6:$A$400&lt;&gt;"")*ISNUMBER(SEARCH('Master Tracker'!$A$6:$A$400,D52)))</f>
        <v>2</v>
      </c>
      <c r="F52">
        <f>SUMPRODUCT(('Master Tracker'!$A$6:$A$400&lt;&gt;"")*ISNUMBER(SEARCH('Master Tracker'!$A$6:$A$400,D52))*('Master Tracker'!$G$6:$G$400="Completed"))</f>
        <v>0</v>
      </c>
      <c r="G52" t="str">
        <f>IF(E52=0,"⚠ UNMAPPED",IF(F52=E52,"✓ Delivered",F52&amp;" / "&amp;E52&amp;" done"))</f>
        <v>0 / 2 done</v>
      </c>
    </row>
    <row r="53">
      <c r="A53" t="str">
        <v>REQ-48</v>
      </c>
      <c r="B53" t="str">
        <v>Phase 5</v>
      </c>
      <c r="C53" t="str">
        <v>Payment webhooks</v>
      </c>
      <c r="D53" t="str">
        <v>P5-09</v>
      </c>
      <c r="E53">
        <f>SUMPRODUCT(('Master Tracker'!$A$6:$A$400&lt;&gt;"")*ISNUMBER(SEARCH('Master Tracker'!$A$6:$A$400,D53)))</f>
        <v>1</v>
      </c>
      <c r="F53">
        <f>SUMPRODUCT(('Master Tracker'!$A$6:$A$400&lt;&gt;"")*ISNUMBER(SEARCH('Master Tracker'!$A$6:$A$400,D53))*('Master Tracker'!$G$6:$G$400="Completed"))</f>
        <v>0</v>
      </c>
      <c r="G53" t="str">
        <f>IF(E53=0,"⚠ UNMAPPED",IF(F53=E53,"✓ Delivered",F53&amp;" / "&amp;E53&amp;" done"))</f>
        <v>0 / 1 done</v>
      </c>
    </row>
    <row r="54">
      <c r="A54" t="str">
        <v>REQ-49</v>
      </c>
      <c r="B54" t="str">
        <v>Phase 5</v>
      </c>
      <c r="C54" t="str">
        <v>Advertising page</v>
      </c>
      <c r="D54" t="str">
        <v>P5-14</v>
      </c>
      <c r="E54">
        <f>SUMPRODUCT(('Master Tracker'!$A$6:$A$400&lt;&gt;"")*ISNUMBER(SEARCH('Master Tracker'!$A$6:$A$400,D54)))</f>
        <v>1</v>
      </c>
      <c r="F54">
        <f>SUMPRODUCT(('Master Tracker'!$A$6:$A$400&lt;&gt;"")*ISNUMBER(SEARCH('Master Tracker'!$A$6:$A$400,D54))*('Master Tracker'!$G$6:$G$400="Completed"))</f>
        <v>0</v>
      </c>
      <c r="G54" t="str">
        <f>IF(E54=0,"⚠ UNMAPPED",IF(F54=E54,"✓ Delivered",F54&amp;" / "&amp;E54&amp;" done"))</f>
        <v>0 / 1 done</v>
      </c>
    </row>
    <row r="55">
      <c r="A55" t="str">
        <v>REQ-50</v>
      </c>
      <c r="B55" t="str">
        <v>Phase 5</v>
      </c>
      <c r="C55" t="str">
        <v>Advertising rate calculator</v>
      </c>
      <c r="D55" t="str">
        <v>P5-15</v>
      </c>
      <c r="E55">
        <f>SUMPRODUCT(('Master Tracker'!$A$6:$A$400&lt;&gt;"")*ISNUMBER(SEARCH('Master Tracker'!$A$6:$A$400,D55)))</f>
        <v>1</v>
      </c>
      <c r="F55">
        <f>SUMPRODUCT(('Master Tracker'!$A$6:$A$400&lt;&gt;"")*ISNUMBER(SEARCH('Master Tracker'!$A$6:$A$400,D55))*('Master Tracker'!$G$6:$G$400="Completed"))</f>
        <v>0</v>
      </c>
      <c r="G55" t="str">
        <f>IF(E55=0,"⚠ UNMAPPED",IF(F55=E55,"✓ Delivered",F55&amp;" / "&amp;E55&amp;" done"))</f>
        <v>0 / 1 done</v>
      </c>
    </row>
    <row r="56">
      <c r="A56" t="str">
        <v>REQ-51</v>
      </c>
      <c r="B56" t="str">
        <v>Phase 5</v>
      </c>
      <c r="C56" t="str">
        <v>Media kit</v>
      </c>
      <c r="D56" t="str">
        <v>P5-16</v>
      </c>
      <c r="E56">
        <f>SUMPRODUCT(('Master Tracker'!$A$6:$A$400&lt;&gt;"")*ISNUMBER(SEARCH('Master Tracker'!$A$6:$A$400,D56)))</f>
        <v>1</v>
      </c>
      <c r="F56">
        <f>SUMPRODUCT(('Master Tracker'!$A$6:$A$400&lt;&gt;"")*ISNUMBER(SEARCH('Master Tracker'!$A$6:$A$400,D56))*('Master Tracker'!$G$6:$G$400="Completed"))</f>
        <v>0</v>
      </c>
      <c r="G56" t="str">
        <f>IF(E56=0,"⚠ UNMAPPED",IF(F56=E56,"✓ Delivered",F56&amp;" / "&amp;E56&amp;" done"))</f>
        <v>0 / 1 done</v>
      </c>
    </row>
    <row r="57">
      <c r="A57" t="str">
        <v>REQ-52</v>
      </c>
      <c r="B57" t="str">
        <v>Phase 5</v>
      </c>
      <c r="C57" t="str">
        <v>Lead capture forms</v>
      </c>
      <c r="D57" t="str">
        <v>P5-17</v>
      </c>
      <c r="E57">
        <f>SUMPRODUCT(('Master Tracker'!$A$6:$A$400&lt;&gt;"")*ISNUMBER(SEARCH('Master Tracker'!$A$6:$A$400,D57)))</f>
        <v>1</v>
      </c>
      <c r="F57">
        <f>SUMPRODUCT(('Master Tracker'!$A$6:$A$400&lt;&gt;"")*ISNUMBER(SEARCH('Master Tracker'!$A$6:$A$400,D57))*('Master Tracker'!$G$6:$G$400="Completed"))</f>
        <v>0</v>
      </c>
      <c r="G57" t="str">
        <f>IF(E57=0,"⚠ UNMAPPED",IF(F57=E57,"✓ Delivered",F57&amp;" / "&amp;E57&amp;" done"))</f>
        <v>0 / 1 done</v>
      </c>
    </row>
    <row r="58">
      <c r="A58" t="str">
        <v>REQ-53</v>
      </c>
      <c r="B58" t="str">
        <v>Phase 5</v>
      </c>
      <c r="C58" t="str">
        <v>About page</v>
      </c>
      <c r="D58" t="str">
        <v>P5-18</v>
      </c>
      <c r="E58">
        <f>SUMPRODUCT(('Master Tracker'!$A$6:$A$400&lt;&gt;"")*ISNUMBER(SEARCH('Master Tracker'!$A$6:$A$400,D58)))</f>
        <v>1</v>
      </c>
      <c r="F58">
        <f>SUMPRODUCT(('Master Tracker'!$A$6:$A$400&lt;&gt;"")*ISNUMBER(SEARCH('Master Tracker'!$A$6:$A$400,D58))*('Master Tracker'!$G$6:$G$400="Completed"))</f>
        <v>0</v>
      </c>
      <c r="G58" t="str">
        <f>IF(E58=0,"⚠ UNMAPPED",IF(F58=E58,"✓ Delivered",F58&amp;" / "&amp;E58&amp;" done"))</f>
        <v>0 / 1 done</v>
      </c>
    </row>
    <row r="59">
      <c r="A59" t="str">
        <v>REQ-54</v>
      </c>
      <c r="B59" t="str">
        <v>Phase 5</v>
      </c>
      <c r="C59" t="str">
        <v>Contact page</v>
      </c>
      <c r="D59" t="str">
        <v>P5-19, P5-13</v>
      </c>
      <c r="E59">
        <f>SUMPRODUCT(('Master Tracker'!$A$6:$A$400&lt;&gt;"")*ISNUMBER(SEARCH('Master Tracker'!$A$6:$A$400,D59)))</f>
        <v>2</v>
      </c>
      <c r="F59">
        <f>SUMPRODUCT(('Master Tracker'!$A$6:$A$400&lt;&gt;"")*ISNUMBER(SEARCH('Master Tracker'!$A$6:$A$400,D59))*('Master Tracker'!$G$6:$G$400="Completed"))</f>
        <v>0</v>
      </c>
      <c r="G59" t="str">
        <f>IF(E59=0,"⚠ UNMAPPED",IF(F59=E59,"✓ Delivered",F59&amp;" / "&amp;E59&amp;" done"))</f>
        <v>0 / 2 done</v>
      </c>
    </row>
    <row r="60">
      <c r="A60" t="str">
        <v>REQ-55</v>
      </c>
      <c r="B60" t="str">
        <v>Phase 5</v>
      </c>
      <c r="C60" t="str">
        <v>Editorial roles and permissions</v>
      </c>
      <c r="D60" t="str">
        <v>P5-20</v>
      </c>
      <c r="E60">
        <f>SUMPRODUCT(('Master Tracker'!$A$6:$A$400&lt;&gt;"")*ISNUMBER(SEARCH('Master Tracker'!$A$6:$A$400,D60)))</f>
        <v>1</v>
      </c>
      <c r="F60">
        <f>SUMPRODUCT(('Master Tracker'!$A$6:$A$400&lt;&gt;"")*ISNUMBER(SEARCH('Master Tracker'!$A$6:$A$400,D60))*('Master Tracker'!$G$6:$G$400="Completed"))</f>
        <v>0</v>
      </c>
      <c r="G60" t="str">
        <f>IF(E60=0,"⚠ UNMAPPED",IF(F60=E60,"✓ Delivered",F60&amp;" / "&amp;E60&amp;" done"))</f>
        <v>0 / 1 done</v>
      </c>
    </row>
    <row r="61">
      <c r="A61" t="str">
        <v>REQ-56</v>
      </c>
      <c r="B61" t="str">
        <v>Phase 6</v>
      </c>
      <c r="C61" t="str">
        <v>Database backup and audit</v>
      </c>
      <c r="D61" t="str">
        <v>P6-01, P6-03, P6-20</v>
      </c>
      <c r="E61">
        <f>SUMPRODUCT(('Master Tracker'!$A$6:$A$400&lt;&gt;"")*ISNUMBER(SEARCH('Master Tracker'!$A$6:$A$400,D61)))</f>
        <v>3</v>
      </c>
      <c r="F61">
        <f>SUMPRODUCT(('Master Tracker'!$A$6:$A$400&lt;&gt;"")*ISNUMBER(SEARCH('Master Tracker'!$A$6:$A$400,D61))*('Master Tracker'!$G$6:$G$400="Completed"))</f>
        <v>0</v>
      </c>
      <c r="G61" t="str">
        <f>IF(E61=0,"⚠ UNMAPPED",IF(F61=E61,"✓ Delivered",F61&amp;" / "&amp;E61&amp;" done"))</f>
        <v>0 / 3 done</v>
      </c>
    </row>
    <row r="62">
      <c r="A62" t="str">
        <v>REQ-57</v>
      </c>
      <c r="B62" t="str">
        <v>Phase 6</v>
      </c>
      <c r="C62" t="str">
        <v>Legacy JNews dependency review</v>
      </c>
      <c r="D62" t="str">
        <v>P6-04</v>
      </c>
      <c r="E62">
        <f>SUMPRODUCT(('Master Tracker'!$A$6:$A$400&lt;&gt;"")*ISNUMBER(SEARCH('Master Tracker'!$A$6:$A$400,D62)))</f>
        <v>1</v>
      </c>
      <c r="F62">
        <f>SUMPRODUCT(('Master Tracker'!$A$6:$A$400&lt;&gt;"")*ISNUMBER(SEARCH('Master Tracker'!$A$6:$A$400,D62))*('Master Tracker'!$G$6:$G$400="Completed"))</f>
        <v>0</v>
      </c>
      <c r="G62" t="str">
        <f>IF(E62=0,"⚠ UNMAPPED",IF(F62=E62,"✓ Delivered",F62&amp;" / "&amp;E62&amp;" done"))</f>
        <v>0 / 1 done</v>
      </c>
    </row>
    <row r="63">
      <c r="A63" t="str">
        <v>REQ-58</v>
      </c>
      <c r="B63" t="str">
        <v>Phase 6</v>
      </c>
      <c r="C63" t="str">
        <v>Safe database optimization</v>
      </c>
      <c r="D63" t="str">
        <v>P6-07</v>
      </c>
      <c r="E63">
        <f>SUMPRODUCT(('Master Tracker'!$A$6:$A$400&lt;&gt;"")*ISNUMBER(SEARCH('Master Tracker'!$A$6:$A$400,D63)))</f>
        <v>1</v>
      </c>
      <c r="F63">
        <f>SUMPRODUCT(('Master Tracker'!$A$6:$A$400&lt;&gt;"")*ISNUMBER(SEARCH('Master Tracker'!$A$6:$A$400,D63))*('Master Tracker'!$G$6:$G$400="Completed"))</f>
        <v>0</v>
      </c>
      <c r="G63" t="str">
        <f>IF(E63=0,"⚠ UNMAPPED",IF(F63=E63,"✓ Delivered",F63&amp;" / "&amp;E63&amp;" done"))</f>
        <v>0 / 1 done</v>
      </c>
    </row>
    <row r="64">
      <c r="A64" t="str">
        <v>REQ-59</v>
      </c>
      <c r="B64" t="str">
        <v>Phase 6</v>
      </c>
      <c r="C64" t="str">
        <v>SEO preservation</v>
      </c>
      <c r="D64" t="str">
        <v>P6-06, P6-09, P6-10</v>
      </c>
      <c r="E64">
        <f>SUMPRODUCT(('Master Tracker'!$A$6:$A$400&lt;&gt;"")*ISNUMBER(SEARCH('Master Tracker'!$A$6:$A$400,D64)))</f>
        <v>3</v>
      </c>
      <c r="F64">
        <f>SUMPRODUCT(('Master Tracker'!$A$6:$A$400&lt;&gt;"")*ISNUMBER(SEARCH('Master Tracker'!$A$6:$A$400,D64))*('Master Tracker'!$G$6:$G$400="Completed"))</f>
        <v>0</v>
      </c>
      <c r="G64" t="str">
        <f>IF(E64=0,"⚠ UNMAPPED",IF(F64=E64,"✓ Delivered",F64&amp;" / "&amp;E64&amp;" done"))</f>
        <v>0 / 3 done</v>
      </c>
    </row>
    <row r="65">
      <c r="A65" t="str">
        <v>REQ-60</v>
      </c>
      <c r="B65" t="str">
        <v>Phase 6</v>
      </c>
      <c r="C65" t="str">
        <v>Validation of all 2,645 article URLs</v>
      </c>
      <c r="D65" t="str">
        <v>P6-05, P6-08</v>
      </c>
      <c r="E65">
        <f>SUMPRODUCT(('Master Tracker'!$A$6:$A$400&lt;&gt;"")*ISNUMBER(SEARCH('Master Tracker'!$A$6:$A$400,D65)))</f>
        <v>2</v>
      </c>
      <c r="F65">
        <f>SUMPRODUCT(('Master Tracker'!$A$6:$A$400&lt;&gt;"")*ISNUMBER(SEARCH('Master Tracker'!$A$6:$A$400,D65))*('Master Tracker'!$G$6:$G$400="Completed"))</f>
        <v>0</v>
      </c>
      <c r="G65" t="str">
        <f>IF(E65=0,"⚠ UNMAPPED",IF(F65=E65,"✓ Delivered",F65&amp;" / "&amp;E65&amp;" done"))</f>
        <v>0 / 2 done</v>
      </c>
    </row>
    <row r="66">
      <c r="A66" t="str">
        <v>REQ-61</v>
      </c>
      <c r="B66" t="str">
        <v>Phase 6</v>
      </c>
      <c r="C66" t="str">
        <v>Performance optimization</v>
      </c>
      <c r="D66" t="str">
        <v>P6-11</v>
      </c>
      <c r="E66">
        <f>SUMPRODUCT(('Master Tracker'!$A$6:$A$400&lt;&gt;"")*ISNUMBER(SEARCH('Master Tracker'!$A$6:$A$400,D66)))</f>
        <v>1</v>
      </c>
      <c r="F66">
        <f>SUMPRODUCT(('Master Tracker'!$A$6:$A$400&lt;&gt;"")*ISNUMBER(SEARCH('Master Tracker'!$A$6:$A$400,D66))*('Master Tracker'!$G$6:$G$400="Completed"))</f>
        <v>0</v>
      </c>
      <c r="G66" t="str">
        <f>IF(E66=0,"⚠ UNMAPPED",IF(F66=E66,"✓ Delivered",F66&amp;" / "&amp;E66&amp;" done"))</f>
        <v>0 / 1 done</v>
      </c>
    </row>
    <row r="67">
      <c r="A67" t="str">
        <v>REQ-62</v>
      </c>
      <c r="B67" t="str">
        <v>Phase 6</v>
      </c>
      <c r="C67" t="str">
        <v>LiteSpeed caching</v>
      </c>
      <c r="D67" t="str">
        <v>P6-12</v>
      </c>
      <c r="E67">
        <f>SUMPRODUCT(('Master Tracker'!$A$6:$A$400&lt;&gt;"")*ISNUMBER(SEARCH('Master Tracker'!$A$6:$A$400,D67)))</f>
        <v>1</v>
      </c>
      <c r="F67">
        <f>SUMPRODUCT(('Master Tracker'!$A$6:$A$400&lt;&gt;"")*ISNUMBER(SEARCH('Master Tracker'!$A$6:$A$400,D67))*('Master Tracker'!$G$6:$G$400="Completed"))</f>
        <v>0</v>
      </c>
      <c r="G67" t="str">
        <f>IF(E67=0,"⚠ UNMAPPED",IF(F67=E67,"✓ Delivered",F67&amp;" / "&amp;E67&amp;" done"))</f>
        <v>0 / 1 done</v>
      </c>
    </row>
    <row r="68">
      <c r="A68" t="str">
        <v>REQ-63</v>
      </c>
      <c r="B68" t="str">
        <v>Phase 6</v>
      </c>
      <c r="C68" t="str">
        <v>Responsive and cross-browser testing</v>
      </c>
      <c r="D68" t="str">
        <v>P6-13, P6-14, P6-16</v>
      </c>
      <c r="E68">
        <f>SUMPRODUCT(('Master Tracker'!$A$6:$A$400&lt;&gt;"")*ISNUMBER(SEARCH('Master Tracker'!$A$6:$A$400,D68)))</f>
        <v>3</v>
      </c>
      <c r="F68">
        <f>SUMPRODUCT(('Master Tracker'!$A$6:$A$400&lt;&gt;"")*ISNUMBER(SEARCH('Master Tracker'!$A$6:$A$400,D68))*('Master Tracker'!$G$6:$G$400="Completed"))</f>
        <v>0</v>
      </c>
      <c r="G68" t="str">
        <f>IF(E68=0,"⚠ UNMAPPED",IF(F68=E68,"✓ Delivered",F68&amp;" / "&amp;E68&amp;" done"))</f>
        <v>0 / 3 done</v>
      </c>
    </row>
    <row r="69">
      <c r="A69" t="str">
        <v>REQ-64</v>
      </c>
      <c r="B69" t="str">
        <v>Phase 6</v>
      </c>
      <c r="C69" t="str">
        <v>Security verification</v>
      </c>
      <c r="D69" t="str">
        <v>P6-15</v>
      </c>
      <c r="E69">
        <f>SUMPRODUCT(('Master Tracker'!$A$6:$A$400&lt;&gt;"")*ISNUMBER(SEARCH('Master Tracker'!$A$6:$A$400,D69)))</f>
        <v>1</v>
      </c>
      <c r="F69">
        <f>SUMPRODUCT(('Master Tracker'!$A$6:$A$400&lt;&gt;"")*ISNUMBER(SEARCH('Master Tracker'!$A$6:$A$400,D69))*('Master Tracker'!$G$6:$G$400="Completed"))</f>
        <v>0</v>
      </c>
      <c r="G69" t="str">
        <f>IF(E69=0,"⚠ UNMAPPED",IF(F69=E69,"✓ Delivered",F69&amp;" / "&amp;E69&amp;" done"))</f>
        <v>0 / 1 done</v>
      </c>
    </row>
    <row r="70">
      <c r="A70" t="str">
        <v>REQ-65</v>
      </c>
      <c r="B70" t="str">
        <v>Phase 6</v>
      </c>
      <c r="C70" t="str">
        <v>Deployment readiness</v>
      </c>
      <c r="D70" t="str">
        <v>P6-02, P6-17, P6-18</v>
      </c>
      <c r="E70">
        <f>SUMPRODUCT(('Master Tracker'!$A$6:$A$400&lt;&gt;"")*ISNUMBER(SEARCH('Master Tracker'!$A$6:$A$400,D70)))</f>
        <v>3</v>
      </c>
      <c r="F70">
        <f>SUMPRODUCT(('Master Tracker'!$A$6:$A$400&lt;&gt;"")*ISNUMBER(SEARCH('Master Tracker'!$A$6:$A$400,D70))*('Master Tracker'!$G$6:$G$400="Completed"))</f>
        <v>0</v>
      </c>
      <c r="G70" t="str">
        <f>IF(E70=0,"⚠ UNMAPPED",IF(F70=E70,"✓ Delivered",F70&amp;" / "&amp;E70&amp;" done"))</f>
        <v>0 / 3 done</v>
      </c>
    </row>
    <row r="71">
      <c r="A71" t="str">
        <v>REQ-66</v>
      </c>
      <c r="B71" t="str">
        <v>Phase 6</v>
      </c>
      <c r="C71" t="str">
        <v>Rollback plan</v>
      </c>
      <c r="D71" t="str">
        <v>P6-19</v>
      </c>
      <c r="E71">
        <f>SUMPRODUCT(('Master Tracker'!$A$6:$A$400&lt;&gt;"")*ISNUMBER(SEARCH('Master Tracker'!$A$6:$A$400,D71)))</f>
        <v>1</v>
      </c>
      <c r="F71">
        <f>SUMPRODUCT(('Master Tracker'!$A$6:$A$400&lt;&gt;"")*ISNUMBER(SEARCH('Master Tracker'!$A$6:$A$400,D71))*('Master Tracker'!$G$6:$G$400="Completed"))</f>
        <v>0</v>
      </c>
      <c r="G71" t="str">
        <f>IF(E71=0,"⚠ UNMAPPED",IF(F71=E71,"✓ Delivered",F71&amp;" / "&amp;E71&amp;" done"))</f>
        <v>0 / 1 done</v>
      </c>
    </row>
    <row r="72">
      <c r="A72" t="str">
        <v>REQ-67</v>
      </c>
      <c r="B72" t="str">
        <v>Phase 6</v>
      </c>
      <c r="C72" t="str">
        <v>Production cutover and post-launch verification</v>
      </c>
      <c r="D72" t="str">
        <v>P6-21, P6-22</v>
      </c>
      <c r="E72">
        <f>SUMPRODUCT(('Master Tracker'!$A$6:$A$400&lt;&gt;"")*ISNUMBER(SEARCH('Master Tracker'!$A$6:$A$400,D72)))</f>
        <v>2</v>
      </c>
      <c r="F72">
        <f>SUMPRODUCT(('Master Tracker'!$A$6:$A$400&lt;&gt;"")*ISNUMBER(SEARCH('Master Tracker'!$A$6:$A$400,D72))*('Master Tracker'!$G$6:$G$400="Completed"))</f>
        <v>0</v>
      </c>
      <c r="G72" t="str">
        <f>IF(E72=0,"⚠ UNMAPPED",IF(F72=E72,"✓ Delivered",F72&amp;" / "&amp;E72&amp;" done"))</f>
        <v>0 / 2 done</v>
      </c>
    </row>
  </sheetData>
  <mergeCells count="2">
    <mergeCell ref="A2:G2"/>
    <mergeCell ref="A1:G1"/>
  </mergeCells>
  <hyperlinks>
    <hyperlink ref="A3" location="'Executive Dashboard'!A1"/>
  </hyperlinks>
  <pageMargins left="0.75" right="0.75" top="1" bottom="1" header="0.5" footer="0.5"/>
  <ignoredErrors>
    <ignoredError numberStoredAsText="1" sqref="A1:G72"/>
  </ignoredErrors>
</worksheet>
</file>

<file path=xl/worksheets/sheet13.xml><?xml version="1.0" encoding="utf-8"?>
<worksheet xmlns="http://schemas.openxmlformats.org/spreadsheetml/2006/main" xmlns:r="http://schemas.openxmlformats.org/officeDocument/2006/relationships">
  <dimension ref="A1:AA72"/>
  <sheetViews>
    <sheetView workbookViewId="0" rightToLeft="0"/>
  </sheetViews>
  <sheetData>
    <row r="1">
      <c r="A1" t="str">
        <v>Status</v>
      </c>
      <c r="B1" t="str">
        <v>Priority</v>
      </c>
      <c r="C1" t="str">
        <v>Environment</v>
      </c>
      <c r="D1" t="str">
        <v>Phase</v>
      </c>
      <c r="E1" t="str">
        <v>ExtReq</v>
      </c>
      <c r="F1" t="str">
        <v>TestResult</v>
      </c>
      <c r="G1" t="str">
        <v>QAResult</v>
      </c>
      <c r="H1" t="str">
        <v>DeployStatus</v>
      </c>
      <c r="I1" t="str">
        <v>Severity</v>
      </c>
      <c r="J1" t="str">
        <v>RiskStatus</v>
      </c>
      <c r="K1" t="str">
        <v>Likelihood</v>
      </c>
      <c r="M1" t="str">
        <v>ProjectStart</v>
      </c>
      <c r="O1" t="str">
        <v>Completion</v>
      </c>
      <c r="P1" t="str">
        <v>Module</v>
      </c>
      <c r="Q1" t="str">
        <v>Blocker</v>
      </c>
      <c r="R1" t="str">
        <v>TaskNotes</v>
      </c>
      <c r="S1" t="str">
        <v>Dates</v>
      </c>
      <c r="T1" t="str">
        <v>Owner</v>
      </c>
      <c r="U1" t="str">
        <v>RiskPhase</v>
      </c>
      <c r="V1" t="str">
        <v>Device</v>
      </c>
      <c r="W1" t="str">
        <v>QANotes</v>
      </c>
      <c r="X1" t="str">
        <v>DeployNotes</v>
      </c>
      <c r="Y1" t="str">
        <v>Resolution</v>
      </c>
      <c r="Z1" t="str">
        <v>Stage</v>
      </c>
      <c r="AA1" t="str">
        <v>Area</v>
      </c>
    </row>
    <row r="2">
      <c r="A2" t="str">
        <v>Not Started</v>
      </c>
      <c r="B2" t="str">
        <v>P0</v>
      </c>
      <c r="C2" t="str">
        <v>Staging (Hostinger)</v>
      </c>
      <c r="D2" t="str">
        <v>Phase 1</v>
      </c>
      <c r="E2" t="str">
        <v>None</v>
      </c>
      <c r="F2" t="str">
        <v>Not Tested</v>
      </c>
      <c r="G2" t="str">
        <v>Not Run</v>
      </c>
      <c r="H2" t="str">
        <v>Not Started</v>
      </c>
      <c r="I2" t="str">
        <v>Critical</v>
      </c>
      <c r="J2" t="str">
        <v>Open</v>
      </c>
      <c r="K2" t="str">
        <v>Very Likely</v>
      </c>
      <c r="M2">
        <v>46307</v>
      </c>
      <c r="O2">
        <v>0</v>
      </c>
      <c r="P2" t="str">
        <v>Staging Setup</v>
      </c>
      <c r="Q2" t="str">
        <v>None</v>
      </c>
      <c r="R2" t="str">
        <v>Needs client review</v>
      </c>
      <c r="S2">
        <v>46296</v>
      </c>
      <c r="T2" t="str">
        <v>Developer</v>
      </c>
      <c r="U2" t="str">
        <v>All</v>
      </c>
      <c r="V2" t="str">
        <v>Desktop Chrome</v>
      </c>
      <c r="W2" t="str">
        <v>No defect</v>
      </c>
      <c r="X2" t="str">
        <v>OK</v>
      </c>
      <c r="Y2" t="str">
        <v>Mitigation in place</v>
      </c>
      <c r="Z2" t="str">
        <v>1. Staging Verification</v>
      </c>
      <c r="AA2" t="str">
        <v>Template 1: Homepage</v>
      </c>
    </row>
    <row r="3">
      <c r="A3" t="str">
        <v>In Progress</v>
      </c>
      <c r="B3" t="str">
        <v>P1</v>
      </c>
      <c r="C3" t="str">
        <v>Production</v>
      </c>
      <c r="D3" t="str">
        <v>Phase 2</v>
      </c>
      <c r="E3" t="str">
        <v>Credentials</v>
      </c>
      <c r="F3" t="str">
        <v>Pass</v>
      </c>
      <c r="G3" t="str">
        <v>Pass</v>
      </c>
      <c r="H3" t="str">
        <v>In Progress</v>
      </c>
      <c r="I3" t="str">
        <v>High</v>
      </c>
      <c r="J3" t="str">
        <v>Monitoring</v>
      </c>
      <c r="K3" t="str">
        <v>Likely</v>
      </c>
      <c r="O3">
        <v>0.1</v>
      </c>
      <c r="P3" t="str">
        <v>Theme Scaffold</v>
      </c>
      <c r="Q3" t="str">
        <v>Waiting on credentials</v>
      </c>
      <c r="R3" t="str">
        <v>Waiting for feedback</v>
      </c>
      <c r="S3">
        <v>46297</v>
      </c>
      <c r="T3" t="str">
        <v>Client (O2 Nations)</v>
      </c>
      <c r="U3" t="str">
        <v>P1</v>
      </c>
      <c r="V3" t="str">
        <v>Desktop + Mobile</v>
      </c>
      <c r="W3" t="str">
        <v>Minor visual issue – logged</v>
      </c>
      <c r="X3" t="str">
        <v>OK – with minor issue</v>
      </c>
      <c r="Y3" t="str">
        <v>Client approved deferral</v>
      </c>
      <c r="Z3" t="str">
        <v>2. Full Backup</v>
      </c>
      <c r="AA3" t="str">
        <v>Template 2: Single Article</v>
      </c>
    </row>
    <row r="4">
      <c r="A4" t="str">
        <v>Blocked</v>
      </c>
      <c r="B4" t="str">
        <v>P2</v>
      </c>
      <c r="C4" t="str">
        <v>Staging + Production</v>
      </c>
      <c r="D4" t="str">
        <v>Phase 3</v>
      </c>
      <c r="E4" t="str">
        <v>Payment Approval</v>
      </c>
      <c r="F4" t="str">
        <v>Fail</v>
      </c>
      <c r="G4" t="str">
        <v>Fail</v>
      </c>
      <c r="H4" t="str">
        <v>Done</v>
      </c>
      <c r="I4" t="str">
        <v>Medium</v>
      </c>
      <c r="J4" t="str">
        <v>Mitigated</v>
      </c>
      <c r="K4" t="str">
        <v>Possible</v>
      </c>
      <c r="O4">
        <v>0.2</v>
      </c>
      <c r="P4" t="str">
        <v>Theme Initialization</v>
      </c>
      <c r="Q4" t="str">
        <v>Waiting on payment provider</v>
      </c>
      <c r="R4" t="str">
        <v>Reconcile with Engineering Directive PDF</v>
      </c>
      <c r="S4">
        <v>46298</v>
      </c>
      <c r="T4" t="str">
        <v>Developer + Client</v>
      </c>
      <c r="U4" t="str">
        <v>P2</v>
      </c>
      <c r="V4" t="str">
        <v>iPhone Safari, Android Chrome</v>
      </c>
      <c r="W4" t="str">
        <v>Functional bug – logged</v>
      </c>
      <c r="X4" t="str">
        <v>Skipped (N/A)</v>
      </c>
      <c r="Y4" t="str">
        <v>Resolved – no impact</v>
      </c>
      <c r="Z4" t="str">
        <v>3. Database Backup</v>
      </c>
      <c r="AA4" t="str">
        <v>Template 3: Category Archive</v>
      </c>
    </row>
    <row r="5">
      <c r="A5" t="str">
        <v>In Review</v>
      </c>
      <c r="C5" t="str">
        <v>External / Third-party</v>
      </c>
      <c r="D5" t="str">
        <v>Phase 4</v>
      </c>
      <c r="E5" t="str">
        <v>Historical Assets</v>
      </c>
      <c r="F5" t="str">
        <v>Partial</v>
      </c>
      <c r="G5" t="str">
        <v>Blocked</v>
      </c>
      <c r="H5" t="str">
        <v>Failed</v>
      </c>
      <c r="I5" t="str">
        <v>Low</v>
      </c>
      <c r="J5" t="str">
        <v>Realized</v>
      </c>
      <c r="K5" t="str">
        <v>Unlikely</v>
      </c>
      <c r="O5">
        <v>0.3</v>
      </c>
      <c r="P5" t="str">
        <v>Asset Pipeline</v>
      </c>
      <c r="Q5" t="str">
        <v>Waiting on client content / feedback</v>
      </c>
      <c r="R5" t="str">
        <v>Partially done – continue tomorrow</v>
      </c>
      <c r="S5">
        <v>46299</v>
      </c>
      <c r="T5" t="str">
        <v>Hosting (Hostinger)</v>
      </c>
      <c r="U5" t="str">
        <v>P3</v>
      </c>
      <c r="V5" t="str">
        <v>iPhone + Android + Desktop</v>
      </c>
      <c r="W5" t="str">
        <v>Blocked by open task</v>
      </c>
      <c r="X5" t="str">
        <v>Failed – rollback triggered</v>
      </c>
      <c r="Y5" t="str">
        <v>Accepted risk</v>
      </c>
      <c r="Z5" t="str">
        <v>4. SEO Comparison</v>
      </c>
      <c r="AA5" t="str">
        <v>Template 4: Author Profile</v>
      </c>
    </row>
    <row r="6">
      <c r="A6" t="str">
        <v>Testing</v>
      </c>
      <c r="D6" t="str">
        <v>Phase 5</v>
      </c>
      <c r="E6" t="str">
        <v>Server Access</v>
      </c>
      <c r="F6" t="str">
        <v>N/A</v>
      </c>
      <c r="G6" t="str">
        <v>N/A</v>
      </c>
      <c r="H6" t="str">
        <v>N/A</v>
      </c>
      <c r="J6" t="str">
        <v>Closed</v>
      </c>
      <c r="O6">
        <v>0.4</v>
      </c>
      <c r="P6" t="str">
        <v>PHP Templates</v>
      </c>
      <c r="Q6" t="str">
        <v>Waiting on historical PDFs / covers</v>
      </c>
      <c r="R6" t="str">
        <v>Deferred to post-launch (client approved)</v>
      </c>
      <c r="S6">
        <v>46300</v>
      </c>
      <c r="T6" t="str">
        <v>Payment Provider</v>
      </c>
      <c r="U6" t="str">
        <v>P4</v>
      </c>
      <c r="V6" t="str">
        <v>Desktop</v>
      </c>
      <c r="W6" t="str">
        <v>Retest after fix</v>
      </c>
      <c r="X6" t="str">
        <v>Repeated successfully</v>
      </c>
      <c r="Y6" t="str">
        <v>Escalated to client</v>
      </c>
      <c r="Z6" t="str">
        <v>5. Theme Activation</v>
      </c>
      <c r="AA6" t="str">
        <v>Template 5: Issues Archive</v>
      </c>
    </row>
    <row r="7">
      <c r="A7" t="str">
        <v>Completed</v>
      </c>
      <c r="D7" t="str">
        <v>Phase 6</v>
      </c>
      <c r="E7" t="str">
        <v>Client Content</v>
      </c>
      <c r="O7">
        <v>0.5</v>
      </c>
      <c r="P7" t="str">
        <v>Components</v>
      </c>
      <c r="Q7" t="str">
        <v>Hosting / server access issue</v>
      </c>
      <c r="R7" t="str">
        <v>Reopened after QA</v>
      </c>
      <c r="S7">
        <v>46301</v>
      </c>
      <c r="U7" t="str">
        <v>P5</v>
      </c>
      <c r="V7" t="str">
        <v>Crawler</v>
      </c>
      <c r="W7" t="str">
        <v>Fixed &amp; retested</v>
      </c>
      <c r="Z7" t="str">
        <v>6. Cache Clearing</v>
      </c>
      <c r="AA7" t="str">
        <v>Template 6: Single Issue</v>
      </c>
    </row>
    <row r="8">
      <c r="O8">
        <v>0.6</v>
      </c>
      <c r="P8" t="str">
        <v>CSS Architecture</v>
      </c>
      <c r="Q8" t="str">
        <v>Dependency task not finished</v>
      </c>
      <c r="R8" t="str">
        <v>Done – pending retest</v>
      </c>
      <c r="S8">
        <v>46302</v>
      </c>
      <c r="U8" t="str">
        <v>P6</v>
      </c>
      <c r="V8" t="str">
        <v>PageSpeed Insights mobile</v>
      </c>
      <c r="Z8" t="str">
        <v>7. Smoke Testing</v>
      </c>
      <c r="AA8" t="str">
        <v>Template 7: Advertise</v>
      </c>
    </row>
    <row r="9">
      <c r="O9">
        <v>0.7</v>
      </c>
      <c r="P9" t="str">
        <v>Vanilla JS</v>
      </c>
      <c r="Q9" t="str">
        <v>Bug found in testing</v>
      </c>
      <c r="S9">
        <v>46303</v>
      </c>
      <c r="V9" t="str">
        <v>Chrome (latest, Windows/macOS)</v>
      </c>
      <c r="Z9" t="str">
        <v>8. Rollback Readiness</v>
      </c>
      <c r="AA9" t="str">
        <v>Template 8: About</v>
      </c>
    </row>
    <row r="10">
      <c r="O10">
        <v>0.8</v>
      </c>
      <c r="P10" t="str">
        <v>RTL Typography</v>
      </c>
      <c r="Q10" t="str">
        <v>Plugin / theme conflict</v>
      </c>
      <c r="S10">
        <v>46304</v>
      </c>
      <c r="V10" t="str">
        <v>Safari (macOS)</v>
      </c>
      <c r="Z10" t="str">
        <v>9. Post-launch Monitoring</v>
      </c>
      <c r="AA10" t="str">
        <v>Template 9: Contact</v>
      </c>
    </row>
    <row r="11">
      <c r="O11">
        <v>0.9</v>
      </c>
      <c r="P11" t="str">
        <v>Responsive Design</v>
      </c>
      <c r="Q11" t="str">
        <v>Performance issue</v>
      </c>
      <c r="S11">
        <v>46305</v>
      </c>
      <c r="V11" t="str">
        <v>Safari (iOS)</v>
      </c>
      <c r="AA11" t="str">
        <v>WordPress Dynamic Content</v>
      </c>
    </row>
    <row r="12">
      <c r="O12">
        <v>1</v>
      </c>
      <c r="P12" t="str">
        <v>Header &amp; Navigation</v>
      </c>
      <c r="Q12" t="str">
        <v>Other (see Notes)</v>
      </c>
      <c r="S12">
        <v>46306</v>
      </c>
      <c r="V12" t="str">
        <v>Firefox (latest)</v>
      </c>
      <c r="AA12" t="str">
        <v>RTL Layout</v>
      </c>
    </row>
    <row r="13">
      <c r="P13" t="str">
        <v>Footer</v>
      </c>
      <c r="S13">
        <v>46307</v>
      </c>
      <c r="V13" t="str">
        <v>Edge (latest)</v>
      </c>
      <c r="AA13" t="str">
        <v>Mobile Responsiveness</v>
      </c>
    </row>
    <row r="14">
      <c r="P14" t="str">
        <v>WordPress Integration</v>
      </c>
      <c r="S14">
        <v>46308</v>
      </c>
      <c r="V14" t="str">
        <v>Samsung Internet (Android)</v>
      </c>
      <c r="AA14" t="str">
        <v>Authentication</v>
      </c>
    </row>
    <row r="15">
      <c r="P15" t="str">
        <v>Query Caching</v>
      </c>
      <c r="S15">
        <v>46309</v>
      </c>
      <c r="AA15" t="str">
        <v>Subscription Functionality</v>
      </c>
    </row>
    <row r="16">
      <c r="P16" t="str">
        <v>Date Helpers</v>
      </c>
      <c r="S16">
        <v>46310</v>
      </c>
      <c r="AA16" t="str">
        <v>Payment Workflows</v>
      </c>
    </row>
    <row r="17">
      <c r="P17" t="str">
        <v>Media</v>
      </c>
      <c r="S17">
        <v>46311</v>
      </c>
      <c r="AA17" t="str">
        <v>SEO Metadata</v>
      </c>
    </row>
    <row r="18">
      <c r="P18" t="str">
        <v>Phase QA</v>
      </c>
      <c r="S18">
        <v>46312</v>
      </c>
      <c r="AA18" t="str">
        <v>Existing Article URLs</v>
      </c>
    </row>
    <row r="19">
      <c r="P19" t="str">
        <v>Section Manager</v>
      </c>
      <c r="S19">
        <v>46313</v>
      </c>
      <c r="AA19" t="str">
        <v>Performance</v>
      </c>
    </row>
    <row r="20">
      <c r="P20" t="str">
        <v>Customizer</v>
      </c>
      <c r="S20">
        <v>46314</v>
      </c>
      <c r="AA20" t="str">
        <v>Security</v>
      </c>
    </row>
    <row r="21">
      <c r="P21" t="str">
        <v>Customizer Controls</v>
      </c>
      <c r="S21">
        <v>46315</v>
      </c>
      <c r="AA21" t="str">
        <v>Contact Forms</v>
      </c>
    </row>
    <row r="22">
      <c r="P22" t="str">
        <v>Cache Controls</v>
      </c>
      <c r="S22">
        <v>46316</v>
      </c>
      <c r="AA22" t="str">
        <v>Magazine PDFs</v>
      </c>
    </row>
    <row r="23">
      <c r="P23" t="str">
        <v>Homepage Sections</v>
      </c>
      <c r="S23">
        <v>46317</v>
      </c>
      <c r="AA23" t="str">
        <v>Browser Compatibility</v>
      </c>
    </row>
    <row r="24">
      <c r="P24" t="str">
        <v>Sector Sections</v>
      </c>
      <c r="S24">
        <v>46318</v>
      </c>
    </row>
    <row r="25">
      <c r="P25" t="str">
        <v>Most Read</v>
      </c>
      <c r="S25">
        <v>46319</v>
      </c>
    </row>
    <row r="26">
      <c r="P26" t="str">
        <v>AdOps</v>
      </c>
      <c r="S26">
        <v>46320</v>
      </c>
    </row>
    <row r="27">
      <c r="P27" t="str">
        <v>Single Article</v>
      </c>
      <c r="S27">
        <v>46321</v>
      </c>
    </row>
    <row r="28">
      <c r="P28" t="str">
        <v>Article Metadata</v>
      </c>
      <c r="S28">
        <v>46322</v>
      </c>
    </row>
    <row r="29">
      <c r="P29" t="str">
        <v>Legacy Content</v>
      </c>
      <c r="S29">
        <v>46323</v>
      </c>
    </row>
    <row r="30">
      <c r="P30" t="str">
        <v>Engagement</v>
      </c>
      <c r="S30">
        <v>46324</v>
      </c>
    </row>
    <row r="31">
      <c r="P31" t="str">
        <v>Author Profiles</v>
      </c>
      <c r="S31">
        <v>46325</v>
      </c>
    </row>
    <row r="32">
      <c r="P32" t="str">
        <v>Category Archives</v>
      </c>
      <c r="S32">
        <v>46326</v>
      </c>
    </row>
    <row r="33">
      <c r="P33" t="str">
        <v>Taxonomy</v>
      </c>
      <c r="S33">
        <v>46327</v>
      </c>
    </row>
    <row r="34">
      <c r="P34" t="str">
        <v>AJAX Filtering</v>
      </c>
      <c r="S34">
        <v>46328</v>
      </c>
    </row>
    <row r="35">
      <c r="P35" t="str">
        <v>Archive UX</v>
      </c>
      <c r="S35">
        <v>46329</v>
      </c>
    </row>
    <row r="36">
      <c r="P36" t="str">
        <v>Pagination</v>
      </c>
      <c r="S36">
        <v>46330</v>
      </c>
    </row>
    <row r="37">
      <c r="P37" t="str">
        <v>Print</v>
      </c>
      <c r="S37">
        <v>46331</v>
      </c>
    </row>
    <row r="38">
      <c r="P38" t="str">
        <v>SEO</v>
      </c>
      <c r="S38">
        <v>46332</v>
      </c>
    </row>
    <row r="39">
      <c r="P39" t="str">
        <v>CPT Engine</v>
      </c>
      <c r="S39">
        <v>46333</v>
      </c>
    </row>
    <row r="40">
      <c r="P40" t="str">
        <v>Historical Assets</v>
      </c>
      <c r="S40">
        <v>46334</v>
      </c>
    </row>
    <row r="41">
      <c r="P41" t="str">
        <v>Migration</v>
      </c>
      <c r="S41">
        <v>46335</v>
      </c>
    </row>
    <row r="42">
      <c r="P42" t="str">
        <v>Cover Images</v>
      </c>
      <c r="S42">
        <v>46336</v>
      </c>
    </row>
    <row r="43">
      <c r="P43" t="str">
        <v>Issue Archive</v>
      </c>
      <c r="S43">
        <v>46337</v>
      </c>
    </row>
    <row r="44">
      <c r="P44" t="str">
        <v>Single Issue</v>
      </c>
      <c r="S44">
        <v>46338</v>
      </c>
    </row>
    <row r="45">
      <c r="P45" t="str">
        <v>Flipbook</v>
      </c>
      <c r="S45">
        <v>46339</v>
      </c>
    </row>
    <row r="46">
      <c r="P46" t="str">
        <v>PDF Downloads</v>
      </c>
      <c r="S46">
        <v>46340</v>
      </c>
    </row>
    <row r="47">
      <c r="P47" t="str">
        <v>Access Control</v>
      </c>
      <c r="S47">
        <v>46341</v>
      </c>
    </row>
    <row r="48">
      <c r="P48" t="str">
        <v>Credentials</v>
      </c>
      <c r="S48">
        <v>46342</v>
      </c>
    </row>
    <row r="49">
      <c r="P49" t="str">
        <v>Payments</v>
      </c>
      <c r="S49">
        <v>46343</v>
      </c>
    </row>
    <row r="50">
      <c r="P50" t="str">
        <v>Authentication</v>
      </c>
      <c r="S50">
        <v>46344</v>
      </c>
    </row>
    <row r="51">
      <c r="P51" t="str">
        <v>Subscriptions</v>
      </c>
      <c r="S51">
        <v>46345</v>
      </c>
    </row>
    <row r="52">
      <c r="P52" t="str">
        <v>Member Dashboard</v>
      </c>
      <c r="S52">
        <v>46346</v>
      </c>
    </row>
    <row r="53">
      <c r="P53" t="str">
        <v>Security</v>
      </c>
      <c r="S53">
        <v>46347</v>
      </c>
    </row>
    <row r="54">
      <c r="P54" t="str">
        <v>Email</v>
      </c>
      <c r="S54">
        <v>46348</v>
      </c>
    </row>
    <row r="55">
      <c r="P55" t="str">
        <v>Leads</v>
      </c>
      <c r="S55">
        <v>46349</v>
      </c>
    </row>
    <row r="56">
      <c r="P56" t="str">
        <v>Pages</v>
      </c>
      <c r="S56">
        <v>46350</v>
      </c>
    </row>
    <row r="57">
      <c r="P57" t="str">
        <v>Roles</v>
      </c>
      <c r="S57">
        <v>46351</v>
      </c>
    </row>
    <row r="58">
      <c r="P58" t="str">
        <v>Backup</v>
      </c>
      <c r="S58">
        <v>46352</v>
      </c>
    </row>
    <row r="59">
      <c r="P59" t="str">
        <v>DB Audit</v>
      </c>
      <c r="S59">
        <v>46353</v>
      </c>
    </row>
    <row r="60">
      <c r="P60" t="str">
        <v>JNews Review</v>
      </c>
      <c r="S60">
        <v>46354</v>
      </c>
    </row>
    <row r="61">
      <c r="P61" t="str">
        <v>URL Inventory</v>
      </c>
      <c r="S61">
        <v>46355</v>
      </c>
    </row>
    <row r="62">
      <c r="P62" t="str">
        <v>SEO Baseline</v>
      </c>
      <c r="S62">
        <v>46356</v>
      </c>
    </row>
    <row r="63">
      <c r="P63" t="str">
        <v>DB Optimization</v>
      </c>
    </row>
    <row r="64">
      <c r="P64" t="str">
        <v>URL Validation</v>
      </c>
    </row>
    <row r="65">
      <c r="P65" t="str">
        <v>Performance</v>
      </c>
    </row>
    <row r="66">
      <c r="P66" t="str">
        <v>Caching</v>
      </c>
    </row>
    <row r="67">
      <c r="P67" t="str">
        <v>Testing</v>
      </c>
    </row>
    <row r="68">
      <c r="P68" t="str">
        <v>Bug Fixing</v>
      </c>
    </row>
    <row r="69">
      <c r="P69" t="str">
        <v>Readiness</v>
      </c>
    </row>
    <row r="70">
      <c r="P70" t="str">
        <v>Rollback</v>
      </c>
    </row>
    <row r="71">
      <c r="P71" t="str">
        <v>Cutover</v>
      </c>
    </row>
    <row r="72">
      <c r="P72" t="str">
        <v>Post-launch</v>
      </c>
    </row>
  </sheetData>
  <pageMargins left="0.75" right="0.75" top="1" bottom="1" header="0.5" footer="0.5"/>
  <ignoredErrors>
    <ignoredError numberStoredAsText="1" sqref="A1:AA72"/>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13</vt:i4>
      </vt:variant>
    </vt:vector>
  </HeadingPairs>
  <TitlesOfParts>
    <vt:vector size="13" baseType="lpstr">
      <vt:lpstr>Executive Dashboard</vt:lpstr>
      <vt:lpstr>Master Tracker</vt:lpstr>
      <vt:lpstr>P1 Theme Foundation</vt:lpstr>
      <vt:lpstr>P2 Homepage &amp; Sections</vt:lpstr>
      <vt:lpstr>P3 Editorial Templates</vt:lpstr>
      <vt:lpstr>P4 Issues Archive</vt:lpstr>
      <vt:lpstr>P5 Auth Subs AdOps</vt:lpstr>
      <vt:lpstr>P6 Cleanup &amp; Cutover</vt:lpstr>
      <vt:lpstr>QA &amp; Testing</vt:lpstr>
      <vt:lpstr>Deployment &amp; Rollback</vt:lpstr>
      <vt:lpstr>Risks &amp; Blockers</vt:lpstr>
      <vt:lpstr>Requirement Map</vt:lpstr>
      <vt:lpstr>Lists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2026-10-11T13:02:56Z</dcterms:created>
  <dcterms:modified xsi:type="dcterms:W3CDTF">2026-10-11T15:13:27Z</dcterms:modified>
  <cp:lastModifiedBy>Donia  Al Hossin</cp:lastModifiedBy>
  <dc:creator>openpyxl</dc:creator>
</cp:coreProperties>
</file>