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81747b5ec5a81c/Documents/"/>
    </mc:Choice>
  </mc:AlternateContent>
  <xr:revisionPtr revIDLastSave="15" documentId="8_{B4140775-69EC-4214-A3F4-CE6A25DE8A0E}" xr6:coauthVersionLast="47" xr6:coauthVersionMax="47" xr10:uidLastSave="{EE8C55DC-76AE-4E9F-B3C5-9C89A49FF85F}"/>
  <bookViews>
    <workbookView xWindow="-108" yWindow="-108" windowWidth="23256" windowHeight="12456" activeTab="3" xr2:uid="{84163163-9B38-44BA-8B62-52C00CBEEE9F}"/>
  </bookViews>
  <sheets>
    <sheet name="Session 1" sheetId="1" r:id="rId1"/>
    <sheet name="Session 2" sheetId="3" r:id="rId2"/>
    <sheet name="Sheet2" sheetId="2" r:id="rId3"/>
    <sheet name="Session 3" sheetId="4" r:id="rId4"/>
  </sheets>
  <definedNames>
    <definedName name="Beta">'Session 3'!$D$10</definedName>
    <definedName name="Cost_of_equity">'Session 3'!$G$12</definedName>
    <definedName name="CostofDebt">'Session 3'!$D$11</definedName>
    <definedName name="Debt_funding">'Session 3'!$G$21</definedName>
    <definedName name="DebtValue">'Session 3'!$D$14</definedName>
    <definedName name="Equity_funding">'Session 3'!$G$20</definedName>
    <definedName name="EquityValue">'Session 3'!$D$13</definedName>
    <definedName name="MarketReturns">'Session 3'!$D$9</definedName>
    <definedName name="Post_tax_cost_of_debt">'Session 3'!$G$16</definedName>
    <definedName name="RiskFreeRate">'Session 3'!$D$8</definedName>
    <definedName name="TaxRate">'Session 3'!$D$12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" i="4" l="1"/>
  <c r="P12" i="4"/>
  <c r="K9" i="4"/>
  <c r="G23" i="4"/>
  <c r="G21" i="4"/>
  <c r="G20" i="4"/>
  <c r="G16" i="4"/>
  <c r="G12" i="4"/>
  <c r="G11" i="4"/>
  <c r="D16" i="4"/>
  <c r="H65" i="3"/>
  <c r="E65" i="3"/>
  <c r="F76" i="3"/>
  <c r="D73" i="3"/>
  <c r="F73" i="3"/>
  <c r="F68" i="3"/>
  <c r="F81" i="3" s="1"/>
  <c r="F69" i="3"/>
  <c r="F70" i="3"/>
  <c r="F71" i="3"/>
  <c r="F72" i="3"/>
  <c r="E72" i="3"/>
  <c r="E71" i="3"/>
  <c r="E70" i="3"/>
  <c r="E69" i="3"/>
  <c r="E68" i="3"/>
  <c r="E81" i="3" s="1"/>
  <c r="F64" i="3"/>
  <c r="F65" i="3" s="1"/>
  <c r="G64" i="3"/>
  <c r="G65" i="3" s="1"/>
  <c r="H64" i="3"/>
  <c r="I64" i="3"/>
  <c r="I65" i="3" s="1"/>
  <c r="J64" i="3"/>
  <c r="J65" i="3" s="1"/>
  <c r="E64" i="3"/>
  <c r="F63" i="3"/>
  <c r="G63" i="3"/>
  <c r="H63" i="3"/>
  <c r="I63" i="3"/>
  <c r="J63" i="3"/>
  <c r="E63" i="3"/>
  <c r="F61" i="3"/>
  <c r="G61" i="3"/>
  <c r="H61" i="3"/>
  <c r="I61" i="3"/>
  <c r="J61" i="3"/>
  <c r="E61" i="3"/>
  <c r="F60" i="3"/>
  <c r="G60" i="3"/>
  <c r="H60" i="3"/>
  <c r="I60" i="3"/>
  <c r="J60" i="3"/>
  <c r="E60" i="3"/>
  <c r="P14" i="4" l="1"/>
  <c r="E77" i="3"/>
  <c r="E82" i="3"/>
  <c r="F75" i="3"/>
  <c r="F82" i="3"/>
  <c r="E76" i="3"/>
  <c r="E75" i="3"/>
  <c r="E80" i="3"/>
  <c r="E73" i="3"/>
  <c r="F77" i="3"/>
  <c r="F80" i="3"/>
  <c r="E79" i="3"/>
  <c r="F79" i="3"/>
  <c r="C44" i="3"/>
  <c r="C30" i="3"/>
  <c r="C20" i="3"/>
  <c r="C7" i="3"/>
  <c r="E48" i="3"/>
  <c r="F48" i="3"/>
  <c r="E50" i="3"/>
  <c r="F50" i="3"/>
  <c r="E52" i="3"/>
  <c r="F52" i="3"/>
  <c r="E53" i="3"/>
  <c r="F53" i="3"/>
  <c r="E55" i="3"/>
  <c r="F55" i="3"/>
  <c r="F47" i="3"/>
  <c r="E47" i="3"/>
  <c r="F33" i="3"/>
  <c r="F35" i="3"/>
  <c r="F37" i="3"/>
  <c r="F38" i="3"/>
  <c r="F40" i="3"/>
  <c r="E35" i="3"/>
  <c r="E37" i="3"/>
  <c r="E38" i="3"/>
  <c r="E40" i="3"/>
  <c r="E33" i="3"/>
  <c r="F32" i="3"/>
  <c r="E32" i="3"/>
  <c r="G27" i="3"/>
  <c r="H27" i="3" s="1"/>
  <c r="I27" i="3" s="1"/>
  <c r="J27" i="3" s="1"/>
  <c r="F26" i="3"/>
  <c r="G26" i="3" s="1"/>
  <c r="H26" i="3" s="1"/>
  <c r="I26" i="3" s="1"/>
  <c r="J26" i="3" s="1"/>
  <c r="J14" i="3" s="1"/>
  <c r="E26" i="3"/>
  <c r="F25" i="3"/>
  <c r="G25" i="3" s="1"/>
  <c r="H25" i="3" s="1"/>
  <c r="I25" i="3" s="1"/>
  <c r="J25" i="3" s="1"/>
  <c r="E25" i="3"/>
  <c r="F24" i="3"/>
  <c r="G24" i="3" s="1"/>
  <c r="E24" i="3"/>
  <c r="F23" i="3"/>
  <c r="G23" i="3" s="1"/>
  <c r="H23" i="3" s="1"/>
  <c r="I23" i="3" s="1"/>
  <c r="J23" i="3" s="1"/>
  <c r="E23" i="3"/>
  <c r="F22" i="3"/>
  <c r="G22" i="3" s="1"/>
  <c r="F10" i="3"/>
  <c r="F12" i="3" s="1"/>
  <c r="F15" i="3" s="1"/>
  <c r="F17" i="3" s="1"/>
  <c r="F41" i="3" s="1"/>
  <c r="E10" i="3"/>
  <c r="E12" i="3" s="1"/>
  <c r="E15" i="3" s="1"/>
  <c r="E17" i="3" s="1"/>
  <c r="E41" i="3" s="1"/>
  <c r="F5" i="3"/>
  <c r="G5" i="3" s="1"/>
  <c r="H5" i="3" s="1"/>
  <c r="I5" i="3" s="1"/>
  <c r="J5" i="3" s="1"/>
  <c r="E15" i="1"/>
  <c r="D15" i="1"/>
  <c r="E13" i="1"/>
  <c r="D13" i="1"/>
  <c r="E10" i="1"/>
  <c r="D10" i="1"/>
  <c r="E8" i="1"/>
  <c r="D8" i="1"/>
  <c r="E4" i="1"/>
  <c r="F4" i="1" s="1"/>
  <c r="G4" i="1" s="1"/>
  <c r="H4" i="1" s="1"/>
  <c r="I4" i="1" s="1"/>
  <c r="P18" i="4" l="1"/>
  <c r="S17" i="4"/>
  <c r="J53" i="3"/>
  <c r="J71" i="3"/>
  <c r="E56" i="3"/>
  <c r="F51" i="3"/>
  <c r="F56" i="3"/>
  <c r="E51" i="3"/>
  <c r="F49" i="3"/>
  <c r="F54" i="3"/>
  <c r="E49" i="3"/>
  <c r="E54" i="3"/>
  <c r="E39" i="3"/>
  <c r="F39" i="3"/>
  <c r="F36" i="3"/>
  <c r="F34" i="3"/>
  <c r="E36" i="3"/>
  <c r="E34" i="3"/>
  <c r="G14" i="3"/>
  <c r="H24" i="3"/>
  <c r="G11" i="3"/>
  <c r="H22" i="3"/>
  <c r="I22" i="3" s="1"/>
  <c r="J22" i="3" s="1"/>
  <c r="G8" i="3"/>
  <c r="I14" i="3"/>
  <c r="H14" i="3"/>
  <c r="H53" i="3" l="1"/>
  <c r="H71" i="3"/>
  <c r="I53" i="3"/>
  <c r="I71" i="3"/>
  <c r="G50" i="3"/>
  <c r="G69" i="3"/>
  <c r="G53" i="3"/>
  <c r="G71" i="3"/>
  <c r="G32" i="3"/>
  <c r="G47" i="3"/>
  <c r="G35" i="3"/>
  <c r="G38" i="3"/>
  <c r="G13" i="3"/>
  <c r="G70" i="3" s="1"/>
  <c r="G9" i="3"/>
  <c r="H8" i="3"/>
  <c r="I24" i="3"/>
  <c r="H11" i="3"/>
  <c r="H69" i="3" s="1"/>
  <c r="G48" i="3" l="1"/>
  <c r="G68" i="3"/>
  <c r="H35" i="3"/>
  <c r="H50" i="3"/>
  <c r="H32" i="3"/>
  <c r="H47" i="3"/>
  <c r="G37" i="3"/>
  <c r="G52" i="3"/>
  <c r="G10" i="3"/>
  <c r="G49" i="3" s="1"/>
  <c r="G33" i="3"/>
  <c r="H38" i="3"/>
  <c r="J24" i="3"/>
  <c r="J11" i="3" s="1"/>
  <c r="I11" i="3"/>
  <c r="H13" i="3"/>
  <c r="H70" i="3" s="1"/>
  <c r="H9" i="3"/>
  <c r="I8" i="3"/>
  <c r="I47" i="3" s="1"/>
  <c r="J50" i="3" l="1"/>
  <c r="J69" i="3"/>
  <c r="H48" i="3"/>
  <c r="H68" i="3"/>
  <c r="I50" i="3"/>
  <c r="I69" i="3"/>
  <c r="H37" i="3"/>
  <c r="H52" i="3"/>
  <c r="I32" i="3"/>
  <c r="I38" i="3"/>
  <c r="H10" i="3"/>
  <c r="H49" i="3" s="1"/>
  <c r="H33" i="3"/>
  <c r="I35" i="3"/>
  <c r="G12" i="3"/>
  <c r="G51" i="3" s="1"/>
  <c r="G34" i="3"/>
  <c r="J8" i="3"/>
  <c r="I13" i="3"/>
  <c r="I70" i="3" s="1"/>
  <c r="I9" i="3"/>
  <c r="I48" i="3" l="1"/>
  <c r="I68" i="3"/>
  <c r="I37" i="3"/>
  <c r="I52" i="3"/>
  <c r="J35" i="3"/>
  <c r="J47" i="3"/>
  <c r="J32" i="3"/>
  <c r="J38" i="3"/>
  <c r="G15" i="3"/>
  <c r="G54" i="3" s="1"/>
  <c r="G36" i="3"/>
  <c r="I10" i="3"/>
  <c r="I49" i="3" s="1"/>
  <c r="I33" i="3"/>
  <c r="H12" i="3"/>
  <c r="H51" i="3" s="1"/>
  <c r="H34" i="3"/>
  <c r="J13" i="3"/>
  <c r="J70" i="3" s="1"/>
  <c r="J9" i="3"/>
  <c r="J48" i="3" l="1"/>
  <c r="J68" i="3"/>
  <c r="J37" i="3"/>
  <c r="J52" i="3"/>
  <c r="G39" i="3"/>
  <c r="G16" i="3"/>
  <c r="G72" i="3" s="1"/>
  <c r="G17" i="3"/>
  <c r="H15" i="3"/>
  <c r="H54" i="3" s="1"/>
  <c r="H36" i="3"/>
  <c r="I12" i="3"/>
  <c r="I51" i="3" s="1"/>
  <c r="I34" i="3"/>
  <c r="J10" i="3"/>
  <c r="J49" i="3" s="1"/>
  <c r="J33" i="3"/>
  <c r="G73" i="3" l="1"/>
  <c r="G79" i="3"/>
  <c r="G76" i="3"/>
  <c r="G81" i="3"/>
  <c r="G82" i="3"/>
  <c r="G75" i="3"/>
  <c r="G80" i="3"/>
  <c r="G77" i="3"/>
  <c r="G41" i="3"/>
  <c r="G56" i="3"/>
  <c r="G40" i="3"/>
  <c r="G55" i="3"/>
  <c r="J12" i="3"/>
  <c r="J51" i="3" s="1"/>
  <c r="J34" i="3"/>
  <c r="I15" i="3"/>
  <c r="I54" i="3" s="1"/>
  <c r="I36" i="3"/>
  <c r="H39" i="3"/>
  <c r="H16" i="3"/>
  <c r="H55" i="3" l="1"/>
  <c r="H72" i="3"/>
  <c r="I39" i="3"/>
  <c r="I16" i="3"/>
  <c r="H17" i="3"/>
  <c r="H40" i="3"/>
  <c r="J36" i="3"/>
  <c r="J15" i="3"/>
  <c r="J54" i="3" s="1"/>
  <c r="I55" i="3" l="1"/>
  <c r="I72" i="3"/>
  <c r="H81" i="3"/>
  <c r="H79" i="3"/>
  <c r="H76" i="3"/>
  <c r="H82" i="3"/>
  <c r="H75" i="3"/>
  <c r="H73" i="3"/>
  <c r="H80" i="3"/>
  <c r="H77" i="3"/>
  <c r="H41" i="3"/>
  <c r="H56" i="3"/>
  <c r="J39" i="3"/>
  <c r="J16" i="3"/>
  <c r="J72" i="3" s="1"/>
  <c r="I17" i="3"/>
  <c r="I40" i="3"/>
  <c r="J79" i="3" l="1"/>
  <c r="J80" i="3"/>
  <c r="J73" i="3"/>
  <c r="J75" i="3"/>
  <c r="J82" i="3"/>
  <c r="J77" i="3"/>
  <c r="J81" i="3"/>
  <c r="J76" i="3"/>
  <c r="I79" i="3"/>
  <c r="I76" i="3"/>
  <c r="I80" i="3"/>
  <c r="I81" i="3"/>
  <c r="I82" i="3"/>
  <c r="I77" i="3"/>
  <c r="I75" i="3"/>
  <c r="I73" i="3"/>
  <c r="I41" i="3"/>
  <c r="I56" i="3"/>
  <c r="J40" i="3"/>
  <c r="J55" i="3"/>
  <c r="J17" i="3"/>
  <c r="J41" i="3" l="1"/>
  <c r="J56" i="3"/>
</calcChain>
</file>

<file path=xl/sharedStrings.xml><?xml version="1.0" encoding="utf-8"?>
<sst xmlns="http://schemas.openxmlformats.org/spreadsheetml/2006/main" count="124" uniqueCount="72">
  <si>
    <t>INR(Crores)</t>
  </si>
  <si>
    <t>Income statement</t>
  </si>
  <si>
    <t>Revenue</t>
  </si>
  <si>
    <t>COGS</t>
  </si>
  <si>
    <t>Gross Profit</t>
  </si>
  <si>
    <t>Selling &amp; Admn Expenses</t>
  </si>
  <si>
    <t>EBITDA</t>
  </si>
  <si>
    <t>Depreciation</t>
  </si>
  <si>
    <t>Interest</t>
  </si>
  <si>
    <t>EBT</t>
  </si>
  <si>
    <t>Taxes</t>
  </si>
  <si>
    <t>Net Profit</t>
  </si>
  <si>
    <t>Revenue Growth</t>
  </si>
  <si>
    <t>S&amp;G Expenses</t>
  </si>
  <si>
    <t>Depreciation % Sales</t>
  </si>
  <si>
    <t>N/A</t>
  </si>
  <si>
    <t>COGS % of Sales</t>
  </si>
  <si>
    <t>Tata Steels</t>
  </si>
  <si>
    <t>Time period</t>
  </si>
  <si>
    <t>Monthly Data</t>
  </si>
  <si>
    <t>Annual Data</t>
  </si>
  <si>
    <t>Costing Analysis</t>
  </si>
  <si>
    <t>Monthly Period</t>
  </si>
  <si>
    <t>Annualy Period</t>
  </si>
  <si>
    <t>Total</t>
  </si>
  <si>
    <t>Average</t>
  </si>
  <si>
    <t>Weighted Average</t>
  </si>
  <si>
    <t>Median</t>
  </si>
  <si>
    <t>Min</t>
  </si>
  <si>
    <t>Max</t>
  </si>
  <si>
    <t>Small</t>
  </si>
  <si>
    <t>Large</t>
  </si>
  <si>
    <t>Stub or Full year</t>
  </si>
  <si>
    <t>Session 1</t>
  </si>
  <si>
    <t>Session 2</t>
  </si>
  <si>
    <t>Session 3</t>
  </si>
  <si>
    <t>RiskFreeRate</t>
  </si>
  <si>
    <t>MarketReturns</t>
  </si>
  <si>
    <t>Beta</t>
  </si>
  <si>
    <t>CostofDebt</t>
  </si>
  <si>
    <t>TaxRate</t>
  </si>
  <si>
    <t>EquityValue</t>
  </si>
  <si>
    <t>DebtValue</t>
  </si>
  <si>
    <t>Cost of capital</t>
  </si>
  <si>
    <t>Risk free rate</t>
  </si>
  <si>
    <t>market returns</t>
  </si>
  <si>
    <t>beta</t>
  </si>
  <si>
    <t>ERP</t>
  </si>
  <si>
    <t>Cost of equity</t>
  </si>
  <si>
    <t>Cost of debt</t>
  </si>
  <si>
    <t>Tax Rate</t>
  </si>
  <si>
    <t>Post tax cost of debt</t>
  </si>
  <si>
    <t>Equity Value</t>
  </si>
  <si>
    <t>Debt Value</t>
  </si>
  <si>
    <t>Equity funding</t>
  </si>
  <si>
    <t>Debt funding</t>
  </si>
  <si>
    <t>D/E ratio</t>
  </si>
  <si>
    <t>Coupon rate</t>
  </si>
  <si>
    <t>D/E Ratio</t>
  </si>
  <si>
    <t>Risk Rating</t>
  </si>
  <si>
    <t>Coupon Rate</t>
  </si>
  <si>
    <t>Baa2</t>
  </si>
  <si>
    <t>Baa3</t>
  </si>
  <si>
    <t>Ba1</t>
  </si>
  <si>
    <t>Ba2</t>
  </si>
  <si>
    <t>Current Sales</t>
  </si>
  <si>
    <t>Sales Growth</t>
  </si>
  <si>
    <t>Gross Margin</t>
  </si>
  <si>
    <t>Next Year Sales</t>
  </si>
  <si>
    <t>Cost of Sales</t>
  </si>
  <si>
    <t>Sales growth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</si>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</sst>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(#,##0\)"/>
    <numFmt numFmtId="165" formatCode="#,##0.0"/>
  </numFmts>
  <fonts count="9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0000FF"/>
      <name val="Calibri"/>
      <family val="2"/>
    </font>
    <font>
      <b/>
      <sz val="11"/>
      <color rgb="FF0000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5">
    <xf numFmtId="0" fontId="0" fillId="0" borderId="0" xfId="0"/>
    <xf numFmtId="0" fontId="2" fillId="2" borderId="0" xfId="0" applyFont="1" applyFill="1"/>
    <xf numFmtId="4" fontId="0" fillId="0" borderId="0" xfId="0" applyNumberForma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2" fillId="0" borderId="0" xfId="0" applyFont="1"/>
    <xf numFmtId="164" fontId="0" fillId="0" borderId="0" xfId="0" applyNumberFormat="1"/>
    <xf numFmtId="164" fontId="3" fillId="0" borderId="0" xfId="0" applyNumberFormat="1" applyFont="1"/>
    <xf numFmtId="0" fontId="1" fillId="0" borderId="0" xfId="0" applyFont="1"/>
    <xf numFmtId="10" fontId="0" fillId="0" borderId="0" xfId="0" applyNumberFormat="1"/>
    <xf numFmtId="10" fontId="3" fillId="0" borderId="0" xfId="0" applyNumberFormat="1" applyFont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164" fontId="4" fillId="0" borderId="0" xfId="0" applyNumberFormat="1" applyFont="1"/>
    <xf numFmtId="0" fontId="0" fillId="0" borderId="1" xfId="0" applyBorder="1"/>
    <xf numFmtId="164" fontId="3" fillId="0" borderId="1" xfId="0" applyNumberFormat="1" applyFont="1" applyBorder="1"/>
    <xf numFmtId="0" fontId="0" fillId="0" borderId="2" xfId="0" applyBorder="1"/>
    <xf numFmtId="0" fontId="1" fillId="0" borderId="3" xfId="0" applyFont="1" applyBorder="1"/>
    <xf numFmtId="9" fontId="3" fillId="0" borderId="0" xfId="0" applyNumberFormat="1" applyFont="1"/>
    <xf numFmtId="164" fontId="6" fillId="0" borderId="0" xfId="0" applyNumberFormat="1" applyFont="1"/>
    <xf numFmtId="0" fontId="5" fillId="0" borderId="1" xfId="0" applyFont="1" applyBorder="1"/>
    <xf numFmtId="164" fontId="5" fillId="0" borderId="0" xfId="0" applyNumberFormat="1" applyFont="1"/>
    <xf numFmtId="164" fontId="5" fillId="0" borderId="2" xfId="0" applyNumberFormat="1" applyFont="1" applyBorder="1"/>
    <xf numFmtId="0" fontId="5" fillId="0" borderId="0" xfId="0" applyFont="1"/>
    <xf numFmtId="165" fontId="5" fillId="0" borderId="2" xfId="0" applyNumberFormat="1" applyFont="1" applyBorder="1"/>
    <xf numFmtId="164" fontId="6" fillId="0" borderId="3" xfId="0" applyNumberFormat="1" applyFont="1" applyBorder="1"/>
    <xf numFmtId="10" fontId="5" fillId="0" borderId="0" xfId="0" applyNumberFormat="1" applyFont="1"/>
    <xf numFmtId="164" fontId="5" fillId="0" borderId="1" xfId="0" applyNumberFormat="1" applyFont="1" applyBorder="1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  <xf numFmtId="164" fontId="1" fillId="0" borderId="3" xfId="0" applyNumberFormat="1" applyFont="1" applyBorder="1"/>
    <xf numFmtId="0" fontId="0" fillId="0" borderId="0" xfId="0" applyAlignment="1">
      <alignment wrapText="1"/>
    </xf>
    <xf numFmtId="9" fontId="3" fillId="0" borderId="0" xfId="0" applyNumberFormat="1" applyFont="1" applyAlignment="1">
      <alignment horizontal="right" wrapText="1"/>
    </xf>
    <xf numFmtId="10" fontId="0" fillId="0" borderId="0" xfId="1" applyNumberFormat="1" applyFont="1"/>
    <xf numFmtId="10" fontId="3" fillId="0" borderId="0" xfId="0" applyNumberFormat="1" applyFont="1" applyAlignment="1">
      <alignment horizontal="right" wrapText="1"/>
    </xf>
    <xf numFmtId="10" fontId="3" fillId="0" borderId="0" xfId="1" applyNumberFormat="1" applyFont="1"/>
    <xf numFmtId="0" fontId="0" fillId="0" borderId="4" xfId="0" applyBorder="1" applyAlignment="1">
      <alignment wrapText="1"/>
    </xf>
    <xf numFmtId="4" fontId="0" fillId="0" borderId="0" xfId="0" applyNumberFormat="1"/>
    <xf numFmtId="4" fontId="0" fillId="0" borderId="4" xfId="0" applyNumberFormat="1" applyBorder="1" applyAlignment="1">
      <alignment wrapText="1"/>
    </xf>
    <xf numFmtId="4" fontId="0" fillId="0" borderId="5" xfId="0" applyNumberFormat="1" applyBorder="1" applyAlignment="1">
      <alignment wrapText="1"/>
    </xf>
    <xf numFmtId="0" fontId="8" fillId="4" borderId="0" xfId="0" applyFont="1" applyFill="1"/>
    <xf numFmtId="9" fontId="3" fillId="0" borderId="6" xfId="0" applyNumberFormat="1" applyFont="1" applyBorder="1"/>
    <xf numFmtId="0" fontId="0" fillId="0" borderId="7" xfId="0" applyBorder="1"/>
    <xf numFmtId="0" fontId="0" fillId="0" borderId="8" xfId="0" applyBorder="1"/>
    <xf numFmtId="9" fontId="0" fillId="0" borderId="1" xfId="1" applyFont="1" applyBorder="1"/>
    <xf numFmtId="9" fontId="0" fillId="0" borderId="1" xfId="0" applyNumberFormat="1" applyBorder="1"/>
    <xf numFmtId="0" fontId="8" fillId="4" borderId="2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0" fillId="0" borderId="0" xfId="0" applyBorder="1"/>
    <xf numFmtId="0" fontId="0" fillId="0" borderId="6" xfId="0" applyBorder="1"/>
    <xf numFmtId="4" fontId="0" fillId="0" borderId="0" xfId="0" applyNumberFormat="1" applyBorder="1"/>
    <xf numFmtId="9" fontId="0" fillId="0" borderId="10" xfId="0" applyNumberFormat="1" applyBorder="1"/>
    <xf numFmtId="0" fontId="8" fillId="4" borderId="8" xfId="0" applyFont="1" applyFill="1" applyBorder="1"/>
    <xf numFmtId="0" fontId="0" fillId="0" borderId="11" xfId="0" applyBorder="1"/>
    <xf numFmtId="9" fontId="3" fillId="0" borderId="10" xfId="0" applyNumberFormat="1" applyFont="1" applyBorder="1"/>
    <xf numFmtId="4" fontId="0" fillId="0" borderId="7" xfId="0" applyNumberFormat="1" applyBorder="1"/>
    <xf numFmtId="4" fontId="0" fillId="0" borderId="2" xfId="0" applyNumberFormat="1" applyBorder="1"/>
    <xf numFmtId="4" fontId="0" fillId="0" borderId="9" xfId="0" applyNumberFormat="1" applyBorder="1"/>
    <xf numFmtId="4" fontId="0" fillId="0" borderId="8" xfId="0" applyNumberFormat="1" applyBorder="1"/>
    <xf numFmtId="4" fontId="0" fillId="0" borderId="6" xfId="0" applyNumberFormat="1" applyBorder="1"/>
    <xf numFmtId="4" fontId="0" fillId="0" borderId="11" xfId="0" applyNumberFormat="1" applyBorder="1"/>
    <xf numFmtId="4" fontId="0" fillId="0" borderId="1" xfId="0" applyNumberFormat="1" applyBorder="1"/>
    <xf numFmtId="4" fontId="0" fillId="0" borderId="10" xfId="0" applyNumberFormat="1" applyBorder="1"/>
  </cellXfs>
  <cellStyles count="2">
    <cellStyle name="Normal" xfId="0" builtinId="0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0" tint="-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BFCF-EC22-4AEB-AEDA-5DBCEAA95EE3}">
  <dimension ref="B1:I15"/>
  <sheetViews>
    <sheetView workbookViewId="0">
      <selection activeCell="B2" sqref="B2"/>
    </sheetView>
  </sheetViews>
  <sheetFormatPr defaultRowHeight="14.4" x14ac:dyDescent="0.3"/>
  <cols>
    <col min="2" max="2" width="21.109375" bestFit="1" customWidth="1"/>
  </cols>
  <sheetData>
    <row r="1" spans="2:9" x14ac:dyDescent="0.3">
      <c r="B1" t="s">
        <v>33</v>
      </c>
    </row>
    <row r="4" spans="2:9" x14ac:dyDescent="0.3">
      <c r="B4" s="1" t="s">
        <v>0</v>
      </c>
      <c r="C4" s="1"/>
      <c r="D4" s="1">
        <v>2022</v>
      </c>
      <c r="E4" s="1">
        <f>D4+1</f>
        <v>2023</v>
      </c>
      <c r="F4" s="1">
        <f t="shared" ref="F4:I4" si="0">E4+1</f>
        <v>2024</v>
      </c>
      <c r="G4" s="1">
        <f t="shared" si="0"/>
        <v>2025</v>
      </c>
      <c r="H4" s="1">
        <f t="shared" si="0"/>
        <v>2026</v>
      </c>
      <c r="I4" s="1">
        <f t="shared" si="0"/>
        <v>2027</v>
      </c>
    </row>
    <row r="5" spans="2:9" x14ac:dyDescent="0.3">
      <c r="B5" t="s">
        <v>1</v>
      </c>
      <c r="C5" s="5"/>
      <c r="D5" s="5"/>
      <c r="E5" s="5"/>
      <c r="F5" s="5"/>
      <c r="G5" s="5"/>
      <c r="H5" s="5"/>
      <c r="I5" s="5"/>
    </row>
    <row r="6" spans="2:9" x14ac:dyDescent="0.3">
      <c r="B6" t="s">
        <v>2</v>
      </c>
      <c r="D6" s="7">
        <v>20000</v>
      </c>
      <c r="E6" s="7">
        <v>22500</v>
      </c>
    </row>
    <row r="7" spans="2:9" x14ac:dyDescent="0.3">
      <c r="B7" t="s">
        <v>3</v>
      </c>
      <c r="D7" s="7">
        <v>8000</v>
      </c>
      <c r="E7" s="7">
        <v>9000</v>
      </c>
    </row>
    <row r="8" spans="2:9" x14ac:dyDescent="0.3">
      <c r="B8" t="s">
        <v>4</v>
      </c>
      <c r="D8" s="6">
        <f>D6-D7</f>
        <v>12000</v>
      </c>
      <c r="E8" s="6">
        <f>E6-E7</f>
        <v>13500</v>
      </c>
    </row>
    <row r="9" spans="2:9" x14ac:dyDescent="0.3">
      <c r="B9" t="s">
        <v>5</v>
      </c>
      <c r="D9" s="7">
        <v>2000</v>
      </c>
      <c r="E9" s="7">
        <v>2250</v>
      </c>
    </row>
    <row r="10" spans="2:9" x14ac:dyDescent="0.3">
      <c r="B10" t="s">
        <v>6</v>
      </c>
      <c r="D10" s="6">
        <f>D8-D9</f>
        <v>10000</v>
      </c>
      <c r="E10" s="6">
        <f>E8-E9</f>
        <v>11250</v>
      </c>
    </row>
    <row r="11" spans="2:9" x14ac:dyDescent="0.3">
      <c r="B11" t="s">
        <v>7</v>
      </c>
      <c r="D11" s="7">
        <v>800</v>
      </c>
      <c r="E11" s="7">
        <v>900</v>
      </c>
    </row>
    <row r="12" spans="2:9" x14ac:dyDescent="0.3">
      <c r="B12" t="s">
        <v>8</v>
      </c>
      <c r="D12" s="7">
        <v>200</v>
      </c>
      <c r="E12" s="7">
        <v>225</v>
      </c>
    </row>
    <row r="13" spans="2:9" x14ac:dyDescent="0.3">
      <c r="B13" t="s">
        <v>9</v>
      </c>
      <c r="D13" s="6">
        <f>D10-SUM(D11:D12)</f>
        <v>9000</v>
      </c>
      <c r="E13" s="6">
        <f>E10-SUM(E11:E12)</f>
        <v>10125</v>
      </c>
    </row>
    <row r="14" spans="2:9" x14ac:dyDescent="0.3">
      <c r="B14" t="s">
        <v>10</v>
      </c>
      <c r="D14" s="7">
        <v>2700</v>
      </c>
      <c r="E14" s="7">
        <v>3037.5</v>
      </c>
    </row>
    <row r="15" spans="2:9" x14ac:dyDescent="0.3">
      <c r="B15" t="s">
        <v>11</v>
      </c>
      <c r="D15" s="6">
        <f>D13-D14</f>
        <v>6300</v>
      </c>
      <c r="E15" s="6">
        <f>E13-E14</f>
        <v>7087.5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03E9-D19C-415F-AFB1-EEC3F73ED88E}">
  <dimension ref="C1:J82"/>
  <sheetViews>
    <sheetView showGridLines="0" workbookViewId="0">
      <selection activeCell="C1" sqref="C1"/>
    </sheetView>
  </sheetViews>
  <sheetFormatPr defaultRowHeight="14.4" outlineLevelRow="1" x14ac:dyDescent="0.3"/>
  <cols>
    <col min="3" max="3" width="34.5546875" bestFit="1" customWidth="1"/>
    <col min="4" max="8" width="10.33203125" bestFit="1" customWidth="1"/>
    <col min="9" max="10" width="12" bestFit="1" customWidth="1"/>
  </cols>
  <sheetData>
    <row r="1" spans="3:10" x14ac:dyDescent="0.3">
      <c r="C1" t="s">
        <v>34</v>
      </c>
    </row>
    <row r="3" spans="3:10" x14ac:dyDescent="0.3">
      <c r="C3" t="s">
        <v>17</v>
      </c>
    </row>
    <row r="5" spans="3:10" x14ac:dyDescent="0.3">
      <c r="C5" s="1" t="s">
        <v>0</v>
      </c>
      <c r="D5" s="1"/>
      <c r="E5" s="1">
        <v>2022</v>
      </c>
      <c r="F5" s="1">
        <f>E5+1</f>
        <v>2023</v>
      </c>
      <c r="G5" s="1">
        <f t="shared" ref="G5:J5" si="0">F5+1</f>
        <v>2024</v>
      </c>
      <c r="H5" s="1">
        <f t="shared" si="0"/>
        <v>2025</v>
      </c>
      <c r="I5" s="1">
        <f t="shared" si="0"/>
        <v>2026</v>
      </c>
      <c r="J5" s="1">
        <f t="shared" si="0"/>
        <v>2027</v>
      </c>
    </row>
    <row r="6" spans="3:10" x14ac:dyDescent="0.3">
      <c r="C6" s="5"/>
      <c r="D6" s="5"/>
      <c r="E6" s="5"/>
      <c r="F6" s="5"/>
      <c r="G6" s="5"/>
      <c r="H6" s="5"/>
      <c r="I6" s="5"/>
      <c r="J6" s="5"/>
    </row>
    <row r="7" spans="3:10" x14ac:dyDescent="0.3">
      <c r="C7" s="11" t="str">
        <f>"Income statement"&amp;"- "&amp;C3</f>
        <v>Income statement- Tata Steels</v>
      </c>
      <c r="D7" s="12"/>
      <c r="E7" s="12"/>
      <c r="F7" s="12"/>
      <c r="G7" s="12"/>
      <c r="H7" s="12"/>
      <c r="I7" s="12"/>
      <c r="J7" s="12"/>
    </row>
    <row r="8" spans="3:10" hidden="1" outlineLevel="1" x14ac:dyDescent="0.3">
      <c r="C8" s="8" t="s">
        <v>2</v>
      </c>
      <c r="D8" s="8"/>
      <c r="E8" s="14">
        <v>20000</v>
      </c>
      <c r="F8" s="14">
        <v>22500</v>
      </c>
      <c r="G8" s="20">
        <f>F8*(1+G22)</f>
        <v>25312.5</v>
      </c>
      <c r="H8" s="20">
        <f t="shared" ref="H8:J8" si="1">G8*(1+H22)</f>
        <v>28476.5625</v>
      </c>
      <c r="I8" s="20">
        <f t="shared" si="1"/>
        <v>32036.1328125</v>
      </c>
      <c r="J8" s="20">
        <f t="shared" si="1"/>
        <v>36040.6494140625</v>
      </c>
    </row>
    <row r="9" spans="3:10" hidden="1" outlineLevel="1" x14ac:dyDescent="0.3">
      <c r="C9" s="15" t="s">
        <v>3</v>
      </c>
      <c r="D9" s="15"/>
      <c r="E9" s="16">
        <v>8000</v>
      </c>
      <c r="F9" s="16">
        <v>9000</v>
      </c>
      <c r="G9" s="21">
        <f>G8*G23</f>
        <v>10125</v>
      </c>
      <c r="H9" s="21">
        <f t="shared" ref="H9:J9" si="2">H8*H23</f>
        <v>11390.625</v>
      </c>
      <c r="I9" s="21">
        <f t="shared" si="2"/>
        <v>12814.453125</v>
      </c>
      <c r="J9" s="21">
        <f t="shared" si="2"/>
        <v>14416.259765625</v>
      </c>
    </row>
    <row r="10" spans="3:10" hidden="1" outlineLevel="1" x14ac:dyDescent="0.3">
      <c r="C10" t="s">
        <v>4</v>
      </c>
      <c r="E10" s="22">
        <f>E8-E9</f>
        <v>12000</v>
      </c>
      <c r="F10" s="22">
        <f>F8-F9</f>
        <v>13500</v>
      </c>
      <c r="G10" s="22">
        <f t="shared" ref="G10:J10" si="3">G8-G9</f>
        <v>15187.5</v>
      </c>
      <c r="H10" s="22">
        <f t="shared" si="3"/>
        <v>17085.9375</v>
      </c>
      <c r="I10" s="22">
        <f t="shared" si="3"/>
        <v>19221.6796875</v>
      </c>
      <c r="J10" s="22">
        <f t="shared" si="3"/>
        <v>21624.3896484375</v>
      </c>
    </row>
    <row r="11" spans="3:10" hidden="1" outlineLevel="1" x14ac:dyDescent="0.3">
      <c r="C11" t="s">
        <v>5</v>
      </c>
      <c r="E11" s="7">
        <v>2000</v>
      </c>
      <c r="F11" s="7">
        <v>2250</v>
      </c>
      <c r="G11" s="22">
        <f>G24</f>
        <v>2250</v>
      </c>
      <c r="H11" s="22">
        <f t="shared" ref="H11:J11" si="4">H24</f>
        <v>2250</v>
      </c>
      <c r="I11" s="22">
        <f t="shared" si="4"/>
        <v>2250</v>
      </c>
      <c r="J11" s="22">
        <f t="shared" si="4"/>
        <v>2250</v>
      </c>
    </row>
    <row r="12" spans="3:10" hidden="1" outlineLevel="1" x14ac:dyDescent="0.3">
      <c r="C12" s="17" t="s">
        <v>6</v>
      </c>
      <c r="D12" s="17"/>
      <c r="E12" s="23">
        <f>E10-E11</f>
        <v>10000</v>
      </c>
      <c r="F12" s="23">
        <f>F10-F11</f>
        <v>11250</v>
      </c>
      <c r="G12" s="23">
        <f t="shared" ref="G12:J12" si="5">G10-G11</f>
        <v>12937.5</v>
      </c>
      <c r="H12" s="23">
        <f t="shared" si="5"/>
        <v>14835.9375</v>
      </c>
      <c r="I12" s="23">
        <f t="shared" si="5"/>
        <v>16971.6796875</v>
      </c>
      <c r="J12" s="23">
        <f t="shared" si="5"/>
        <v>19374.3896484375</v>
      </c>
    </row>
    <row r="13" spans="3:10" hidden="1" outlineLevel="1" x14ac:dyDescent="0.3">
      <c r="C13" t="s">
        <v>7</v>
      </c>
      <c r="E13" s="7">
        <v>800</v>
      </c>
      <c r="F13" s="7">
        <v>900</v>
      </c>
      <c r="G13" s="24">
        <f>G8*G25</f>
        <v>1012.5</v>
      </c>
      <c r="H13" s="24">
        <f t="shared" ref="H13:J13" si="6">H8*H25</f>
        <v>1139.0625</v>
      </c>
      <c r="I13" s="24">
        <f t="shared" si="6"/>
        <v>1281.4453125</v>
      </c>
      <c r="J13" s="24">
        <f t="shared" si="6"/>
        <v>1441.6259765625</v>
      </c>
    </row>
    <row r="14" spans="3:10" hidden="1" outlineLevel="1" x14ac:dyDescent="0.3">
      <c r="C14" t="s">
        <v>8</v>
      </c>
      <c r="E14" s="7">
        <v>200</v>
      </c>
      <c r="F14" s="7">
        <v>225</v>
      </c>
      <c r="G14" s="22">
        <f>G26</f>
        <v>225</v>
      </c>
      <c r="H14" s="22">
        <f t="shared" ref="H14:J14" si="7">H26</f>
        <v>225</v>
      </c>
      <c r="I14" s="22">
        <f t="shared" si="7"/>
        <v>225</v>
      </c>
      <c r="J14" s="22">
        <f t="shared" si="7"/>
        <v>225</v>
      </c>
    </row>
    <row r="15" spans="3:10" hidden="1" outlineLevel="1" x14ac:dyDescent="0.3">
      <c r="C15" s="17" t="s">
        <v>9</v>
      </c>
      <c r="D15" s="17"/>
      <c r="E15" s="23">
        <f>E12-SUM(E13:E14)</f>
        <v>9000</v>
      </c>
      <c r="F15" s="23">
        <f>F12-SUM(F13:F14)</f>
        <v>10125</v>
      </c>
      <c r="G15" s="25">
        <f>G12-SUM(G13:G14)</f>
        <v>11700</v>
      </c>
      <c r="H15" s="25">
        <f t="shared" ref="H15:J15" si="8">H12-SUM(H13:H14)</f>
        <v>13471.875</v>
      </c>
      <c r="I15" s="25">
        <f t="shared" si="8"/>
        <v>15465.234375</v>
      </c>
      <c r="J15" s="25">
        <f t="shared" si="8"/>
        <v>17707.763671875</v>
      </c>
    </row>
    <row r="16" spans="3:10" hidden="1" outlineLevel="1" x14ac:dyDescent="0.3">
      <c r="C16" t="s">
        <v>10</v>
      </c>
      <c r="E16" s="7">
        <v>2700</v>
      </c>
      <c r="F16" s="7">
        <v>3037.5</v>
      </c>
      <c r="G16" s="24">
        <f>G15*G27</f>
        <v>3510</v>
      </c>
      <c r="H16" s="24">
        <f t="shared" ref="H16:J16" si="9">H15*H27</f>
        <v>4041.5625</v>
      </c>
      <c r="I16" s="24">
        <f t="shared" si="9"/>
        <v>4639.5703125</v>
      </c>
      <c r="J16" s="24">
        <f t="shared" si="9"/>
        <v>5312.3291015625</v>
      </c>
    </row>
    <row r="17" spans="3:10" ht="15" hidden="1" outlineLevel="1" thickBot="1" x14ac:dyDescent="0.35">
      <c r="C17" s="18" t="s">
        <v>11</v>
      </c>
      <c r="D17" s="18"/>
      <c r="E17" s="26">
        <f>E15-E16</f>
        <v>6300</v>
      </c>
      <c r="F17" s="26">
        <f>F15-F16</f>
        <v>7087.5</v>
      </c>
      <c r="G17" s="26">
        <f t="shared" ref="G17:J17" si="10">G15-G16</f>
        <v>8190</v>
      </c>
      <c r="H17" s="26">
        <f t="shared" si="10"/>
        <v>9430.3125</v>
      </c>
      <c r="I17" s="26">
        <f t="shared" si="10"/>
        <v>10825.6640625</v>
      </c>
      <c r="J17" s="26">
        <f t="shared" si="10"/>
        <v>12395.4345703125</v>
      </c>
    </row>
    <row r="18" spans="3:10" collapsed="1" x14ac:dyDescent="0.3"/>
    <row r="20" spans="3:10" x14ac:dyDescent="0.3">
      <c r="C20" s="11" t="str">
        <f>"Assumptions drivers"&amp;"- "&amp;C3</f>
        <v>Assumptions drivers- Tata Steels</v>
      </c>
      <c r="D20" s="13"/>
      <c r="E20" s="13"/>
      <c r="F20" s="13"/>
      <c r="G20" s="13"/>
      <c r="H20" s="13"/>
      <c r="I20" s="13"/>
      <c r="J20" s="13"/>
    </row>
    <row r="21" spans="3:10" x14ac:dyDescent="0.3">
      <c r="C21" s="8"/>
    </row>
    <row r="22" spans="3:10" hidden="1" outlineLevel="1" x14ac:dyDescent="0.3">
      <c r="C22" t="s">
        <v>12</v>
      </c>
      <c r="E22" s="9" t="s">
        <v>15</v>
      </c>
      <c r="F22" s="27">
        <f>F8/E8-1</f>
        <v>0.125</v>
      </c>
      <c r="G22" s="27">
        <f>F22</f>
        <v>0.125</v>
      </c>
      <c r="H22" s="27">
        <f t="shared" ref="H22:J22" si="11">G22</f>
        <v>0.125</v>
      </c>
      <c r="I22" s="27">
        <f t="shared" si="11"/>
        <v>0.125</v>
      </c>
      <c r="J22" s="27">
        <f t="shared" si="11"/>
        <v>0.125</v>
      </c>
    </row>
    <row r="23" spans="3:10" hidden="1" outlineLevel="1" x14ac:dyDescent="0.3">
      <c r="C23" t="s">
        <v>16</v>
      </c>
      <c r="E23" s="27">
        <f>E9/E8</f>
        <v>0.4</v>
      </c>
      <c r="F23" s="27">
        <f>F9/F8</f>
        <v>0.4</v>
      </c>
      <c r="G23" s="27">
        <f t="shared" ref="G23:J23" si="12">F23</f>
        <v>0.4</v>
      </c>
      <c r="H23" s="27">
        <f t="shared" si="12"/>
        <v>0.4</v>
      </c>
      <c r="I23" s="27">
        <f t="shared" si="12"/>
        <v>0.4</v>
      </c>
      <c r="J23" s="27">
        <f t="shared" si="12"/>
        <v>0.4</v>
      </c>
    </row>
    <row r="24" spans="3:10" hidden="1" outlineLevel="1" x14ac:dyDescent="0.3">
      <c r="C24" t="s">
        <v>13</v>
      </c>
      <c r="E24" s="22">
        <f>E11</f>
        <v>2000</v>
      </c>
      <c r="F24" s="22">
        <f>F11</f>
        <v>2250</v>
      </c>
      <c r="G24" s="22">
        <f t="shared" ref="G24:J24" si="13">F24</f>
        <v>2250</v>
      </c>
      <c r="H24" s="22">
        <f t="shared" si="13"/>
        <v>2250</v>
      </c>
      <c r="I24" s="22">
        <f t="shared" si="13"/>
        <v>2250</v>
      </c>
      <c r="J24" s="22">
        <f t="shared" si="13"/>
        <v>2250</v>
      </c>
    </row>
    <row r="25" spans="3:10" hidden="1" outlineLevel="1" x14ac:dyDescent="0.3">
      <c r="C25" t="s">
        <v>14</v>
      </c>
      <c r="E25" s="27">
        <f>E13/E8</f>
        <v>0.04</v>
      </c>
      <c r="F25" s="27">
        <f>F13/F8</f>
        <v>0.04</v>
      </c>
      <c r="G25" s="27">
        <f t="shared" ref="G25:J25" si="14">F25</f>
        <v>0.04</v>
      </c>
      <c r="H25" s="27">
        <f t="shared" si="14"/>
        <v>0.04</v>
      </c>
      <c r="I25" s="27">
        <f t="shared" si="14"/>
        <v>0.04</v>
      </c>
      <c r="J25" s="27">
        <f t="shared" si="14"/>
        <v>0.04</v>
      </c>
    </row>
    <row r="26" spans="3:10" hidden="1" outlineLevel="1" x14ac:dyDescent="0.3">
      <c r="C26" t="s">
        <v>8</v>
      </c>
      <c r="E26" s="22">
        <f>E14</f>
        <v>200</v>
      </c>
      <c r="F26" s="22">
        <f>F14</f>
        <v>225</v>
      </c>
      <c r="G26" s="22">
        <f t="shared" ref="G26:J26" si="15">F26</f>
        <v>225</v>
      </c>
      <c r="H26" s="22">
        <f t="shared" si="15"/>
        <v>225</v>
      </c>
      <c r="I26" s="22">
        <f t="shared" si="15"/>
        <v>225</v>
      </c>
      <c r="J26" s="22">
        <f t="shared" si="15"/>
        <v>225</v>
      </c>
    </row>
    <row r="27" spans="3:10" hidden="1" outlineLevel="1" x14ac:dyDescent="0.3">
      <c r="C27" t="s">
        <v>10</v>
      </c>
      <c r="E27" s="10">
        <v>0.3</v>
      </c>
      <c r="F27" s="10">
        <v>0.3</v>
      </c>
      <c r="G27" s="27">
        <f t="shared" ref="G27:J27" si="16">F27</f>
        <v>0.3</v>
      </c>
      <c r="H27" s="27">
        <f t="shared" si="16"/>
        <v>0.3</v>
      </c>
      <c r="I27" s="27">
        <f t="shared" si="16"/>
        <v>0.3</v>
      </c>
      <c r="J27" s="27">
        <f t="shared" si="16"/>
        <v>0.3</v>
      </c>
    </row>
    <row r="28" spans="3:10" collapsed="1" x14ac:dyDescent="0.3"/>
    <row r="30" spans="3:10" x14ac:dyDescent="0.3">
      <c r="C30" s="11" t="str">
        <f>"Common Size Statement"&amp;"- "&amp;C3</f>
        <v>Common Size Statement- Tata Steels</v>
      </c>
      <c r="D30" s="11"/>
      <c r="E30" s="11"/>
      <c r="F30" s="11"/>
      <c r="G30" s="11"/>
      <c r="H30" s="11"/>
      <c r="I30" s="11"/>
      <c r="J30" s="11"/>
    </row>
    <row r="31" spans="3:10" x14ac:dyDescent="0.3">
      <c r="C31" s="8"/>
      <c r="D31" s="8"/>
      <c r="E31" s="8"/>
      <c r="F31" s="8"/>
      <c r="G31" s="8"/>
      <c r="H31" s="8"/>
      <c r="I31" s="8"/>
      <c r="J31" s="8"/>
    </row>
    <row r="32" spans="3:10" hidden="1" outlineLevel="1" x14ac:dyDescent="0.3">
      <c r="C32" t="s">
        <v>2</v>
      </c>
      <c r="E32" s="27">
        <f>E8/E8</f>
        <v>1</v>
      </c>
      <c r="F32" s="27">
        <f t="shared" ref="F32:J32" si="17">F8/F8</f>
        <v>1</v>
      </c>
      <c r="G32" s="27">
        <f t="shared" si="17"/>
        <v>1</v>
      </c>
      <c r="H32" s="27">
        <f t="shared" si="17"/>
        <v>1</v>
      </c>
      <c r="I32" s="27">
        <f t="shared" si="17"/>
        <v>1</v>
      </c>
      <c r="J32" s="27">
        <f t="shared" si="17"/>
        <v>1</v>
      </c>
    </row>
    <row r="33" spans="3:10" hidden="1" outlineLevel="1" x14ac:dyDescent="0.3">
      <c r="C33" t="s">
        <v>3</v>
      </c>
      <c r="E33" s="27">
        <f t="shared" ref="E33:E41" si="18">E9/E$8</f>
        <v>0.4</v>
      </c>
      <c r="F33" s="27">
        <f t="shared" ref="F33:J33" si="19">F9/F$8</f>
        <v>0.4</v>
      </c>
      <c r="G33" s="27">
        <f t="shared" si="19"/>
        <v>0.4</v>
      </c>
      <c r="H33" s="27">
        <f t="shared" si="19"/>
        <v>0.4</v>
      </c>
      <c r="I33" s="27">
        <f t="shared" si="19"/>
        <v>0.4</v>
      </c>
      <c r="J33" s="27">
        <f t="shared" si="19"/>
        <v>0.4</v>
      </c>
    </row>
    <row r="34" spans="3:10" hidden="1" outlineLevel="1" x14ac:dyDescent="0.3">
      <c r="C34" t="s">
        <v>4</v>
      </c>
      <c r="E34" s="27">
        <f t="shared" si="18"/>
        <v>0.6</v>
      </c>
      <c r="F34" s="27">
        <f t="shared" ref="F34:J41" si="20">F10/F$8</f>
        <v>0.6</v>
      </c>
      <c r="G34" s="27">
        <f t="shared" si="20"/>
        <v>0.6</v>
      </c>
      <c r="H34" s="27">
        <f t="shared" si="20"/>
        <v>0.6</v>
      </c>
      <c r="I34" s="27">
        <f t="shared" si="20"/>
        <v>0.6</v>
      </c>
      <c r="J34" s="27">
        <f t="shared" si="20"/>
        <v>0.6</v>
      </c>
    </row>
    <row r="35" spans="3:10" hidden="1" outlineLevel="1" x14ac:dyDescent="0.3">
      <c r="C35" t="s">
        <v>5</v>
      </c>
      <c r="E35" s="27">
        <f t="shared" si="18"/>
        <v>0.1</v>
      </c>
      <c r="F35" s="27">
        <f t="shared" si="20"/>
        <v>0.1</v>
      </c>
      <c r="G35" s="27">
        <f t="shared" si="20"/>
        <v>8.8888888888888892E-2</v>
      </c>
      <c r="H35" s="27">
        <f t="shared" si="20"/>
        <v>7.9012345679012344E-2</v>
      </c>
      <c r="I35" s="27">
        <f t="shared" si="20"/>
        <v>7.0233196159122088E-2</v>
      </c>
      <c r="J35" s="27">
        <f t="shared" si="20"/>
        <v>6.2429507696997406E-2</v>
      </c>
    </row>
    <row r="36" spans="3:10" hidden="1" outlineLevel="1" x14ac:dyDescent="0.3">
      <c r="C36" t="s">
        <v>6</v>
      </c>
      <c r="E36" s="27">
        <f t="shared" si="18"/>
        <v>0.5</v>
      </c>
      <c r="F36" s="27">
        <f t="shared" si="20"/>
        <v>0.5</v>
      </c>
      <c r="G36" s="27">
        <f t="shared" si="20"/>
        <v>0.51111111111111107</v>
      </c>
      <c r="H36" s="27">
        <f t="shared" si="20"/>
        <v>0.5209876543209877</v>
      </c>
      <c r="I36" s="27">
        <f t="shared" si="20"/>
        <v>0.52976680384087793</v>
      </c>
      <c r="J36" s="27">
        <f t="shared" si="20"/>
        <v>0.53757049230300258</v>
      </c>
    </row>
    <row r="37" spans="3:10" hidden="1" outlineLevel="1" x14ac:dyDescent="0.3">
      <c r="C37" t="s">
        <v>7</v>
      </c>
      <c r="E37" s="27">
        <f t="shared" si="18"/>
        <v>0.04</v>
      </c>
      <c r="F37" s="27">
        <f t="shared" si="20"/>
        <v>0.04</v>
      </c>
      <c r="G37" s="27">
        <f t="shared" si="20"/>
        <v>0.04</v>
      </c>
      <c r="H37" s="27">
        <f t="shared" si="20"/>
        <v>0.04</v>
      </c>
      <c r="I37" s="27">
        <f t="shared" si="20"/>
        <v>0.04</v>
      </c>
      <c r="J37" s="27">
        <f t="shared" si="20"/>
        <v>0.04</v>
      </c>
    </row>
    <row r="38" spans="3:10" hidden="1" outlineLevel="1" x14ac:dyDescent="0.3">
      <c r="C38" t="s">
        <v>8</v>
      </c>
      <c r="E38" s="27">
        <f t="shared" si="18"/>
        <v>0.01</v>
      </c>
      <c r="F38" s="27">
        <f t="shared" si="20"/>
        <v>0.01</v>
      </c>
      <c r="G38" s="27">
        <f t="shared" si="20"/>
        <v>8.8888888888888889E-3</v>
      </c>
      <c r="H38" s="27">
        <f t="shared" si="20"/>
        <v>7.9012345679012348E-3</v>
      </c>
      <c r="I38" s="27">
        <f t="shared" si="20"/>
        <v>7.0233196159122085E-3</v>
      </c>
      <c r="J38" s="27">
        <f t="shared" si="20"/>
        <v>6.2429507696997412E-3</v>
      </c>
    </row>
    <row r="39" spans="3:10" hidden="1" outlineLevel="1" x14ac:dyDescent="0.3">
      <c r="C39" t="s">
        <v>9</v>
      </c>
      <c r="E39" s="27">
        <f t="shared" si="18"/>
        <v>0.45</v>
      </c>
      <c r="F39" s="27">
        <f t="shared" si="20"/>
        <v>0.45</v>
      </c>
      <c r="G39" s="27">
        <f t="shared" si="20"/>
        <v>0.4622222222222222</v>
      </c>
      <c r="H39" s="27">
        <f t="shared" si="20"/>
        <v>0.47308641975308641</v>
      </c>
      <c r="I39" s="27">
        <f t="shared" si="20"/>
        <v>0.48274348422496571</v>
      </c>
      <c r="J39" s="27">
        <f t="shared" si="20"/>
        <v>0.49132754153330283</v>
      </c>
    </row>
    <row r="40" spans="3:10" hidden="1" outlineLevel="1" x14ac:dyDescent="0.3">
      <c r="C40" t="s">
        <v>10</v>
      </c>
      <c r="E40" s="27">
        <f t="shared" si="18"/>
        <v>0.13500000000000001</v>
      </c>
      <c r="F40" s="27">
        <f t="shared" si="20"/>
        <v>0.13500000000000001</v>
      </c>
      <c r="G40" s="27">
        <f t="shared" si="20"/>
        <v>0.13866666666666666</v>
      </c>
      <c r="H40" s="27">
        <f t="shared" si="20"/>
        <v>0.14192592592592593</v>
      </c>
      <c r="I40" s="27">
        <f t="shared" si="20"/>
        <v>0.14482304526748971</v>
      </c>
      <c r="J40" s="27">
        <f t="shared" si="20"/>
        <v>0.14739826245999085</v>
      </c>
    </row>
    <row r="41" spans="3:10" hidden="1" outlineLevel="1" x14ac:dyDescent="0.3">
      <c r="C41" t="s">
        <v>11</v>
      </c>
      <c r="E41" s="27">
        <f t="shared" si="18"/>
        <v>0.315</v>
      </c>
      <c r="F41" s="27">
        <f t="shared" si="20"/>
        <v>0.315</v>
      </c>
      <c r="G41" s="27">
        <f t="shared" si="20"/>
        <v>0.32355555555555554</v>
      </c>
      <c r="H41" s="27">
        <f t="shared" si="20"/>
        <v>0.33116049382716051</v>
      </c>
      <c r="I41" s="27">
        <f t="shared" si="20"/>
        <v>0.33792043895747598</v>
      </c>
      <c r="J41" s="27">
        <f t="shared" si="20"/>
        <v>0.343929279073312</v>
      </c>
    </row>
    <row r="42" spans="3:10" collapsed="1" x14ac:dyDescent="0.3"/>
    <row r="44" spans="3:10" x14ac:dyDescent="0.3">
      <c r="C44" s="11" t="str">
        <f>"Change Analysis Statement"&amp;"- "&amp;C3</f>
        <v>Change Analysis Statement- Tata Steels</v>
      </c>
      <c r="D44" s="11"/>
      <c r="E44" s="11"/>
      <c r="F44" s="11"/>
      <c r="G44" s="11"/>
      <c r="H44" s="11"/>
      <c r="I44" s="11"/>
      <c r="J44" s="11"/>
    </row>
    <row r="46" spans="3:10" x14ac:dyDescent="0.3">
      <c r="C46" s="19">
        <v>0.2</v>
      </c>
    </row>
    <row r="47" spans="3:10" hidden="1" outlineLevel="1" x14ac:dyDescent="0.3">
      <c r="C47" s="8" t="s">
        <v>2</v>
      </c>
      <c r="D47" s="8"/>
      <c r="E47" s="20">
        <f>E8*(1+$C$46)</f>
        <v>24000</v>
      </c>
      <c r="F47" s="20">
        <f t="shared" ref="F47:J47" si="21">F8*(1+$C$46)</f>
        <v>27000</v>
      </c>
      <c r="G47" s="20">
        <f t="shared" si="21"/>
        <v>30375</v>
      </c>
      <c r="H47" s="20">
        <f t="shared" si="21"/>
        <v>34171.875</v>
      </c>
      <c r="I47" s="20">
        <f t="shared" si="21"/>
        <v>38443.359375</v>
      </c>
      <c r="J47" s="20">
        <f t="shared" si="21"/>
        <v>43248.779296875</v>
      </c>
    </row>
    <row r="48" spans="3:10" hidden="1" outlineLevel="1" x14ac:dyDescent="0.3">
      <c r="C48" s="15" t="s">
        <v>3</v>
      </c>
      <c r="D48" s="15"/>
      <c r="E48" s="28">
        <f t="shared" ref="E48:J48" si="22">E9*(1+$C$46)</f>
        <v>9600</v>
      </c>
      <c r="F48" s="28">
        <f t="shared" si="22"/>
        <v>10800</v>
      </c>
      <c r="G48" s="28">
        <f t="shared" si="22"/>
        <v>12150</v>
      </c>
      <c r="H48" s="28">
        <f t="shared" si="22"/>
        <v>13668.75</v>
      </c>
      <c r="I48" s="28">
        <f t="shared" si="22"/>
        <v>15377.34375</v>
      </c>
      <c r="J48" s="28">
        <f t="shared" si="22"/>
        <v>17299.51171875</v>
      </c>
    </row>
    <row r="49" spans="3:10" hidden="1" outlineLevel="1" x14ac:dyDescent="0.3">
      <c r="C49" t="s">
        <v>4</v>
      </c>
      <c r="E49" s="22">
        <f t="shared" ref="E49:J49" si="23">E10*(1+$C$46)</f>
        <v>14400</v>
      </c>
      <c r="F49" s="22">
        <f t="shared" si="23"/>
        <v>16200</v>
      </c>
      <c r="G49" s="22">
        <f t="shared" si="23"/>
        <v>18225</v>
      </c>
      <c r="H49" s="22">
        <f t="shared" si="23"/>
        <v>20503.125</v>
      </c>
      <c r="I49" s="22">
        <f t="shared" si="23"/>
        <v>23066.015625</v>
      </c>
      <c r="J49" s="22">
        <f t="shared" si="23"/>
        <v>25949.267578125</v>
      </c>
    </row>
    <row r="50" spans="3:10" hidden="1" outlineLevel="1" x14ac:dyDescent="0.3">
      <c r="C50" s="15" t="s">
        <v>5</v>
      </c>
      <c r="D50" s="15"/>
      <c r="E50" s="28">
        <f t="shared" ref="E50:J50" si="24">E11*(1+$C$46)</f>
        <v>2400</v>
      </c>
      <c r="F50" s="28">
        <f t="shared" si="24"/>
        <v>2700</v>
      </c>
      <c r="G50" s="28">
        <f t="shared" si="24"/>
        <v>2700</v>
      </c>
      <c r="H50" s="28">
        <f t="shared" si="24"/>
        <v>2700</v>
      </c>
      <c r="I50" s="28">
        <f t="shared" si="24"/>
        <v>2700</v>
      </c>
      <c r="J50" s="28">
        <f t="shared" si="24"/>
        <v>2700</v>
      </c>
    </row>
    <row r="51" spans="3:10" hidden="1" outlineLevel="1" x14ac:dyDescent="0.3">
      <c r="C51" t="s">
        <v>6</v>
      </c>
      <c r="E51" s="22">
        <f t="shared" ref="E51:J51" si="25">E12*(1+$C$46)</f>
        <v>12000</v>
      </c>
      <c r="F51" s="22">
        <f t="shared" si="25"/>
        <v>13500</v>
      </c>
      <c r="G51" s="22">
        <f t="shared" si="25"/>
        <v>15525</v>
      </c>
      <c r="H51" s="22">
        <f t="shared" si="25"/>
        <v>17803.125</v>
      </c>
      <c r="I51" s="22">
        <f t="shared" si="25"/>
        <v>20366.015625</v>
      </c>
      <c r="J51" s="22">
        <f t="shared" si="25"/>
        <v>23249.267578125</v>
      </c>
    </row>
    <row r="52" spans="3:10" hidden="1" outlineLevel="1" x14ac:dyDescent="0.3">
      <c r="C52" t="s">
        <v>7</v>
      </c>
      <c r="E52" s="22">
        <f t="shared" ref="E52:J52" si="26">E13*(1+$C$46)</f>
        <v>960</v>
      </c>
      <c r="F52" s="22">
        <f t="shared" si="26"/>
        <v>1080</v>
      </c>
      <c r="G52" s="22">
        <f t="shared" si="26"/>
        <v>1215</v>
      </c>
      <c r="H52" s="22">
        <f t="shared" si="26"/>
        <v>1366.875</v>
      </c>
      <c r="I52" s="22">
        <f t="shared" si="26"/>
        <v>1537.734375</v>
      </c>
      <c r="J52" s="22">
        <f t="shared" si="26"/>
        <v>1729.951171875</v>
      </c>
    </row>
    <row r="53" spans="3:10" hidden="1" outlineLevel="1" x14ac:dyDescent="0.3">
      <c r="C53" s="15" t="s">
        <v>8</v>
      </c>
      <c r="D53" s="15"/>
      <c r="E53" s="28">
        <f t="shared" ref="E53:J53" si="27">E14*(1+$C$46)</f>
        <v>240</v>
      </c>
      <c r="F53" s="28">
        <f t="shared" si="27"/>
        <v>270</v>
      </c>
      <c r="G53" s="28">
        <f t="shared" si="27"/>
        <v>270</v>
      </c>
      <c r="H53" s="28">
        <f t="shared" si="27"/>
        <v>270</v>
      </c>
      <c r="I53" s="28">
        <f t="shared" si="27"/>
        <v>270</v>
      </c>
      <c r="J53" s="28">
        <f t="shared" si="27"/>
        <v>270</v>
      </c>
    </row>
    <row r="54" spans="3:10" hidden="1" outlineLevel="1" x14ac:dyDescent="0.3">
      <c r="C54" t="s">
        <v>9</v>
      </c>
      <c r="E54" s="22">
        <f t="shared" ref="E54:J54" si="28">E15*(1+$C$46)</f>
        <v>10800</v>
      </c>
      <c r="F54" s="22">
        <f t="shared" si="28"/>
        <v>12150</v>
      </c>
      <c r="G54" s="22">
        <f t="shared" si="28"/>
        <v>14040</v>
      </c>
      <c r="H54" s="22">
        <f t="shared" si="28"/>
        <v>16166.25</v>
      </c>
      <c r="I54" s="22">
        <f t="shared" si="28"/>
        <v>18558.28125</v>
      </c>
      <c r="J54" s="22">
        <f t="shared" si="28"/>
        <v>21249.31640625</v>
      </c>
    </row>
    <row r="55" spans="3:10" hidden="1" outlineLevel="1" x14ac:dyDescent="0.3">
      <c r="C55" s="15" t="s">
        <v>10</v>
      </c>
      <c r="D55" s="15"/>
      <c r="E55" s="28">
        <f t="shared" ref="E55:J55" si="29">E16*(1+$C$46)</f>
        <v>3240</v>
      </c>
      <c r="F55" s="28">
        <f t="shared" si="29"/>
        <v>3645</v>
      </c>
      <c r="G55" s="28">
        <f t="shared" si="29"/>
        <v>4212</v>
      </c>
      <c r="H55" s="28">
        <f t="shared" si="29"/>
        <v>4849.875</v>
      </c>
      <c r="I55" s="28">
        <f t="shared" si="29"/>
        <v>5567.484375</v>
      </c>
      <c r="J55" s="28">
        <f t="shared" si="29"/>
        <v>6374.794921875</v>
      </c>
    </row>
    <row r="56" spans="3:10" ht="15" hidden="1" outlineLevel="1" thickBot="1" x14ac:dyDescent="0.35">
      <c r="C56" s="18" t="s">
        <v>11</v>
      </c>
      <c r="D56" s="18"/>
      <c r="E56" s="26">
        <f t="shared" ref="E56:J56" si="30">E17*(1+$C$46)</f>
        <v>7560</v>
      </c>
      <c r="F56" s="26">
        <f t="shared" si="30"/>
        <v>8505</v>
      </c>
      <c r="G56" s="26">
        <f t="shared" si="30"/>
        <v>9828</v>
      </c>
      <c r="H56" s="26">
        <f t="shared" si="30"/>
        <v>11316.375</v>
      </c>
      <c r="I56" s="26">
        <f t="shared" si="30"/>
        <v>12990.796875</v>
      </c>
      <c r="J56" s="26">
        <f t="shared" si="30"/>
        <v>14874.521484375</v>
      </c>
    </row>
    <row r="57" spans="3:10" collapsed="1" x14ac:dyDescent="0.3"/>
    <row r="59" spans="3:10" x14ac:dyDescent="0.3">
      <c r="C59" s="8" t="s">
        <v>18</v>
      </c>
      <c r="D59" s="30">
        <v>44788</v>
      </c>
      <c r="E59" s="31">
        <v>0</v>
      </c>
      <c r="F59" s="31">
        <v>1</v>
      </c>
      <c r="G59" s="31">
        <v>2</v>
      </c>
      <c r="H59" s="31">
        <v>3</v>
      </c>
      <c r="I59" s="31">
        <v>4</v>
      </c>
      <c r="J59" s="31">
        <v>5</v>
      </c>
    </row>
    <row r="60" spans="3:10" hidden="1" outlineLevel="1" x14ac:dyDescent="0.3">
      <c r="C60" t="s">
        <v>19</v>
      </c>
      <c r="E60" s="29">
        <f>EOMONTH($D$59,E59)</f>
        <v>44804</v>
      </c>
      <c r="F60" s="29">
        <f t="shared" ref="F60:J60" si="31">EOMONTH($D$59,F59)</f>
        <v>44834</v>
      </c>
      <c r="G60" s="29">
        <f t="shared" si="31"/>
        <v>44865</v>
      </c>
      <c r="H60" s="29">
        <f t="shared" si="31"/>
        <v>44895</v>
      </c>
      <c r="I60" s="29">
        <f t="shared" si="31"/>
        <v>44926</v>
      </c>
      <c r="J60" s="29">
        <f t="shared" si="31"/>
        <v>44957</v>
      </c>
    </row>
    <row r="61" spans="3:10" hidden="1" outlineLevel="1" x14ac:dyDescent="0.3">
      <c r="C61" t="s">
        <v>20</v>
      </c>
      <c r="E61" s="29">
        <f>DATE(YEAR($D$59)+E59,12,31)</f>
        <v>44926</v>
      </c>
      <c r="F61" s="29">
        <f t="shared" ref="F61:J61" si="32">DATE(YEAR($D$59)+F59,12,31)</f>
        <v>45291</v>
      </c>
      <c r="G61" s="29">
        <f t="shared" si="32"/>
        <v>45657</v>
      </c>
      <c r="H61" s="29">
        <f t="shared" si="32"/>
        <v>46022</v>
      </c>
      <c r="I61" s="29">
        <f t="shared" si="32"/>
        <v>46387</v>
      </c>
      <c r="J61" s="29">
        <f t="shared" si="32"/>
        <v>46752</v>
      </c>
    </row>
    <row r="62" spans="3:10" hidden="1" outlineLevel="1" x14ac:dyDescent="0.3"/>
    <row r="63" spans="3:10" hidden="1" outlineLevel="1" x14ac:dyDescent="0.3">
      <c r="C63" t="s">
        <v>22</v>
      </c>
      <c r="E63">
        <f>YEARFRAC($D$59,E60)</f>
        <v>4.4444444444444446E-2</v>
      </c>
      <c r="F63">
        <f t="shared" ref="F63:J63" si="33">YEARFRAC($D$59,F60)</f>
        <v>0.125</v>
      </c>
      <c r="G63">
        <f t="shared" si="33"/>
        <v>0.21111111111111111</v>
      </c>
      <c r="H63">
        <f t="shared" si="33"/>
        <v>0.29166666666666669</v>
      </c>
      <c r="I63">
        <f t="shared" si="33"/>
        <v>0.37777777777777777</v>
      </c>
      <c r="J63">
        <f t="shared" si="33"/>
        <v>0.46111111111111114</v>
      </c>
    </row>
    <row r="64" spans="3:10" hidden="1" outlineLevel="1" x14ac:dyDescent="0.3">
      <c r="C64" t="s">
        <v>23</v>
      </c>
      <c r="E64">
        <f>YEARFRAC($D$59,E61)</f>
        <v>0.37777777777777777</v>
      </c>
      <c r="F64">
        <f t="shared" ref="F64:J64" si="34">YEARFRAC($D$59,F61)</f>
        <v>1.3777777777777778</v>
      </c>
      <c r="G64">
        <f t="shared" si="34"/>
        <v>2.3777777777777778</v>
      </c>
      <c r="H64">
        <f t="shared" si="34"/>
        <v>3.3777777777777778</v>
      </c>
      <c r="I64">
        <f t="shared" si="34"/>
        <v>4.3777777777777782</v>
      </c>
      <c r="J64">
        <f t="shared" si="34"/>
        <v>5.3777777777777782</v>
      </c>
    </row>
    <row r="65" spans="3:10" hidden="1" outlineLevel="1" x14ac:dyDescent="0.3">
      <c r="C65" t="s">
        <v>32</v>
      </c>
      <c r="E65" t="str">
        <f>IF(E64&lt;1,"Stub","Full year")</f>
        <v>Stub</v>
      </c>
      <c r="F65" t="str">
        <f t="shared" ref="F65:J65" si="35">IF(F64&lt;1,"Stub","Full year")</f>
        <v>Full year</v>
      </c>
      <c r="G65" t="str">
        <f t="shared" si="35"/>
        <v>Full year</v>
      </c>
      <c r="H65" t="str">
        <f t="shared" si="35"/>
        <v>Full year</v>
      </c>
      <c r="I65" t="str">
        <f t="shared" si="35"/>
        <v>Full year</v>
      </c>
      <c r="J65" t="str">
        <f t="shared" si="35"/>
        <v>Full year</v>
      </c>
    </row>
    <row r="66" spans="3:10" collapsed="1" x14ac:dyDescent="0.3"/>
    <row r="67" spans="3:10" x14ac:dyDescent="0.3">
      <c r="C67" s="8" t="s">
        <v>21</v>
      </c>
    </row>
    <row r="68" spans="3:10" hidden="1" outlineLevel="1" x14ac:dyDescent="0.3">
      <c r="C68" t="s">
        <v>3</v>
      </c>
      <c r="D68" s="31">
        <v>0.1</v>
      </c>
      <c r="E68" s="6">
        <f>E9</f>
        <v>8000</v>
      </c>
      <c r="F68" s="6">
        <f t="shared" ref="F68:J68" si="36">F9</f>
        <v>9000</v>
      </c>
      <c r="G68" s="6">
        <f t="shared" si="36"/>
        <v>10125</v>
      </c>
      <c r="H68" s="6">
        <f t="shared" si="36"/>
        <v>11390.625</v>
      </c>
      <c r="I68" s="6">
        <f t="shared" si="36"/>
        <v>12814.453125</v>
      </c>
      <c r="J68" s="6">
        <f t="shared" si="36"/>
        <v>14416.259765625</v>
      </c>
    </row>
    <row r="69" spans="3:10" hidden="1" outlineLevel="1" x14ac:dyDescent="0.3">
      <c r="C69" t="s">
        <v>5</v>
      </c>
      <c r="D69" s="31">
        <v>0.2</v>
      </c>
      <c r="E69" s="6">
        <f>E11</f>
        <v>2000</v>
      </c>
      <c r="F69" s="6">
        <f t="shared" ref="F69:J69" si="37">F11</f>
        <v>2250</v>
      </c>
      <c r="G69" s="6">
        <f t="shared" si="37"/>
        <v>2250</v>
      </c>
      <c r="H69" s="6">
        <f t="shared" si="37"/>
        <v>2250</v>
      </c>
      <c r="I69" s="6">
        <f t="shared" si="37"/>
        <v>2250</v>
      </c>
      <c r="J69" s="6">
        <f t="shared" si="37"/>
        <v>2250</v>
      </c>
    </row>
    <row r="70" spans="3:10" hidden="1" outlineLevel="1" x14ac:dyDescent="0.3">
      <c r="C70" t="s">
        <v>7</v>
      </c>
      <c r="D70" s="31">
        <v>0.2</v>
      </c>
      <c r="E70" s="6">
        <f>E13</f>
        <v>800</v>
      </c>
      <c r="F70" s="6">
        <f t="shared" ref="F70:J70" si="38">F13</f>
        <v>900</v>
      </c>
      <c r="G70" s="6">
        <f t="shared" si="38"/>
        <v>1012.5</v>
      </c>
      <c r="H70" s="6">
        <f t="shared" si="38"/>
        <v>1139.0625</v>
      </c>
      <c r="I70" s="6">
        <f t="shared" si="38"/>
        <v>1281.4453125</v>
      </c>
      <c r="J70" s="6">
        <f t="shared" si="38"/>
        <v>1441.6259765625</v>
      </c>
    </row>
    <row r="71" spans="3:10" hidden="1" outlineLevel="1" x14ac:dyDescent="0.3">
      <c r="C71" t="s">
        <v>8</v>
      </c>
      <c r="D71" s="31">
        <v>0.3</v>
      </c>
      <c r="E71" s="6">
        <f>E14</f>
        <v>200</v>
      </c>
      <c r="F71" s="6">
        <f t="shared" ref="F71:J71" si="39">F14</f>
        <v>225</v>
      </c>
      <c r="G71" s="6">
        <f t="shared" si="39"/>
        <v>225</v>
      </c>
      <c r="H71" s="6">
        <f t="shared" si="39"/>
        <v>225</v>
      </c>
      <c r="I71" s="6">
        <f t="shared" si="39"/>
        <v>225</v>
      </c>
      <c r="J71" s="6">
        <f t="shared" si="39"/>
        <v>225</v>
      </c>
    </row>
    <row r="72" spans="3:10" hidden="1" outlineLevel="1" x14ac:dyDescent="0.3">
      <c r="C72" t="s">
        <v>10</v>
      </c>
      <c r="D72" s="31">
        <v>0.2</v>
      </c>
      <c r="E72" s="6">
        <f>E16</f>
        <v>2700</v>
      </c>
      <c r="F72" s="6">
        <f t="shared" ref="F72:J72" si="40">F16</f>
        <v>3037.5</v>
      </c>
      <c r="G72" s="6">
        <f t="shared" si="40"/>
        <v>3510</v>
      </c>
      <c r="H72" s="6">
        <f t="shared" si="40"/>
        <v>4041.5625</v>
      </c>
      <c r="I72" s="6">
        <f t="shared" si="40"/>
        <v>4639.5703125</v>
      </c>
      <c r="J72" s="6">
        <f t="shared" si="40"/>
        <v>5312.3291015625</v>
      </c>
    </row>
    <row r="73" spans="3:10" ht="15" hidden="1" outlineLevel="1" thickBot="1" x14ac:dyDescent="0.35">
      <c r="C73" s="18" t="s">
        <v>24</v>
      </c>
      <c r="D73" s="18">
        <f>SUM(D68:D72)</f>
        <v>1</v>
      </c>
      <c r="E73" s="32">
        <f>SUM(E68:E72)</f>
        <v>13700</v>
      </c>
      <c r="F73" s="32">
        <f t="shared" ref="F73:J73" si="41">SUM(F68:F72)</f>
        <v>15412.5</v>
      </c>
      <c r="G73" s="32">
        <f t="shared" si="41"/>
        <v>17122.5</v>
      </c>
      <c r="H73" s="32">
        <f t="shared" si="41"/>
        <v>19046.25</v>
      </c>
      <c r="I73" s="32">
        <f t="shared" si="41"/>
        <v>21210.46875</v>
      </c>
      <c r="J73" s="32">
        <f t="shared" si="41"/>
        <v>23645.21484375</v>
      </c>
    </row>
    <row r="74" spans="3:10" collapsed="1" x14ac:dyDescent="0.3"/>
    <row r="75" spans="3:10" x14ac:dyDescent="0.3">
      <c r="C75" t="s">
        <v>25</v>
      </c>
      <c r="E75" s="6">
        <f>AVERAGE(E68:E72)</f>
        <v>2740</v>
      </c>
      <c r="F75" s="6">
        <f t="shared" ref="F75:J75" si="42">AVERAGE(F68:F72)</f>
        <v>3082.5</v>
      </c>
      <c r="G75" s="6">
        <f t="shared" si="42"/>
        <v>3424.5</v>
      </c>
      <c r="H75" s="6">
        <f t="shared" si="42"/>
        <v>3809.25</v>
      </c>
      <c r="I75" s="6">
        <f t="shared" si="42"/>
        <v>4242.09375</v>
      </c>
      <c r="J75" s="6">
        <f t="shared" si="42"/>
        <v>4729.04296875</v>
      </c>
    </row>
    <row r="76" spans="3:10" x14ac:dyDescent="0.3">
      <c r="C76" t="s">
        <v>26</v>
      </c>
      <c r="E76">
        <f>SUMPRODUCT($D$68:$D$72,E68:E72)</f>
        <v>1960</v>
      </c>
      <c r="F76">
        <f t="shared" ref="F76:J76" si="43">SUMPRODUCT($D$68:$D$72,F68:F72)</f>
        <v>2205</v>
      </c>
      <c r="G76">
        <f t="shared" si="43"/>
        <v>2434.5</v>
      </c>
      <c r="H76">
        <f t="shared" si="43"/>
        <v>2692.6875</v>
      </c>
      <c r="I76">
        <f t="shared" si="43"/>
        <v>2983.1484375</v>
      </c>
      <c r="J76">
        <f t="shared" si="43"/>
        <v>3309.9169921875</v>
      </c>
    </row>
    <row r="77" spans="3:10" x14ac:dyDescent="0.3">
      <c r="C77" t="s">
        <v>27</v>
      </c>
      <c r="E77" s="6">
        <f>MEDIAN(E68:E72)</f>
        <v>2000</v>
      </c>
      <c r="F77" s="6">
        <f t="shared" ref="F77:J77" si="44">MEDIAN(F68:F72)</f>
        <v>2250</v>
      </c>
      <c r="G77" s="6">
        <f t="shared" si="44"/>
        <v>2250</v>
      </c>
      <c r="H77" s="6">
        <f t="shared" si="44"/>
        <v>2250</v>
      </c>
      <c r="I77" s="6">
        <f t="shared" si="44"/>
        <v>2250</v>
      </c>
      <c r="J77" s="6">
        <f t="shared" si="44"/>
        <v>2250</v>
      </c>
    </row>
    <row r="79" spans="3:10" x14ac:dyDescent="0.3">
      <c r="C79" t="s">
        <v>28</v>
      </c>
      <c r="E79" s="6">
        <f>MIN(E68:E72)</f>
        <v>200</v>
      </c>
      <c r="F79" s="6">
        <f t="shared" ref="F79:J79" si="45">MIN(F68:F72)</f>
        <v>225</v>
      </c>
      <c r="G79" s="6">
        <f t="shared" si="45"/>
        <v>225</v>
      </c>
      <c r="H79" s="6">
        <f t="shared" si="45"/>
        <v>225</v>
      </c>
      <c r="I79" s="6">
        <f t="shared" si="45"/>
        <v>225</v>
      </c>
      <c r="J79" s="6">
        <f t="shared" si="45"/>
        <v>225</v>
      </c>
    </row>
    <row r="80" spans="3:10" x14ac:dyDescent="0.3">
      <c r="C80" t="s">
        <v>29</v>
      </c>
      <c r="E80" s="6">
        <f>MAX(E68:E72)</f>
        <v>8000</v>
      </c>
      <c r="F80" s="6">
        <f t="shared" ref="F80:J80" si="46">MAX(F68:F72)</f>
        <v>9000</v>
      </c>
      <c r="G80" s="6">
        <f t="shared" si="46"/>
        <v>10125</v>
      </c>
      <c r="H80" s="6">
        <f t="shared" si="46"/>
        <v>11390.625</v>
      </c>
      <c r="I80" s="6">
        <f t="shared" si="46"/>
        <v>12814.453125</v>
      </c>
      <c r="J80" s="6">
        <f t="shared" si="46"/>
        <v>14416.259765625</v>
      </c>
    </row>
    <row r="81" spans="3:10" x14ac:dyDescent="0.3">
      <c r="C81" t="s">
        <v>30</v>
      </c>
      <c r="D81" s="31">
        <v>2</v>
      </c>
      <c r="E81" s="6">
        <f>SMALL(E68:E72,$D$81)</f>
        <v>800</v>
      </c>
      <c r="F81" s="6">
        <f t="shared" ref="F81:J81" si="47">SMALL(F68:F72,$D$81)</f>
        <v>900</v>
      </c>
      <c r="G81" s="6">
        <f t="shared" si="47"/>
        <v>1012.5</v>
      </c>
      <c r="H81" s="6">
        <f t="shared" si="47"/>
        <v>1139.0625</v>
      </c>
      <c r="I81" s="6">
        <f t="shared" si="47"/>
        <v>1281.4453125</v>
      </c>
      <c r="J81" s="6">
        <f t="shared" si="47"/>
        <v>1441.6259765625</v>
      </c>
    </row>
    <row r="82" spans="3:10" x14ac:dyDescent="0.3">
      <c r="C82" t="s">
        <v>31</v>
      </c>
      <c r="D82" s="31">
        <v>2</v>
      </c>
      <c r="E82" s="6">
        <f>LARGE(E68:E72,$D$82)</f>
        <v>2700</v>
      </c>
      <c r="F82" s="6">
        <f t="shared" ref="F82:J82" si="48">LARGE(F68:F72,$D$82)</f>
        <v>3037.5</v>
      </c>
      <c r="G82" s="6">
        <f t="shared" si="48"/>
        <v>3510</v>
      </c>
      <c r="H82" s="6">
        <f t="shared" si="48"/>
        <v>4041.5625</v>
      </c>
      <c r="I82" s="6">
        <f t="shared" si="48"/>
        <v>4639.5703125</v>
      </c>
      <c r="J82" s="6">
        <f t="shared" si="48"/>
        <v>5312.3291015625</v>
      </c>
    </row>
  </sheetData>
  <conditionalFormatting sqref="E32:J41">
    <cfRule type="cellIs" dxfId="2" priority="3" operator="lessThan">
      <formula>0.1</formula>
    </cfRule>
  </conditionalFormatting>
  <conditionalFormatting sqref="E51:J51">
    <cfRule type="cellIs" dxfId="1" priority="1" operator="lessThan">
      <formula>15000</formula>
    </cfRule>
    <cfRule type="cellIs" dxfId="0" priority="2" operator="greaterThan">
      <formula>15000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CB94-6B7E-489A-8C86-EEF034890913}">
  <dimension ref="B8:D17"/>
  <sheetViews>
    <sheetView workbookViewId="0">
      <selection activeCell="C8" sqref="C8:D17"/>
    </sheetView>
  </sheetViews>
  <sheetFormatPr defaultRowHeight="14.4" x14ac:dyDescent="0.3"/>
  <cols>
    <col min="2" max="2" width="21.109375" bestFit="1" customWidth="1"/>
    <col min="3" max="4" width="9" bestFit="1" customWidth="1"/>
  </cols>
  <sheetData>
    <row r="8" spans="2:4" x14ac:dyDescent="0.3">
      <c r="B8" t="s">
        <v>2</v>
      </c>
      <c r="C8" s="3">
        <v>20000</v>
      </c>
      <c r="D8" s="3">
        <v>22500</v>
      </c>
    </row>
    <row r="9" spans="2:4" x14ac:dyDescent="0.3">
      <c r="B9" t="s">
        <v>3</v>
      </c>
      <c r="C9" s="3">
        <v>8000</v>
      </c>
      <c r="D9" s="3">
        <v>9000</v>
      </c>
    </row>
    <row r="10" spans="2:4" x14ac:dyDescent="0.3">
      <c r="B10" t="s">
        <v>4</v>
      </c>
      <c r="C10" s="2">
        <v>12000</v>
      </c>
      <c r="D10" s="2">
        <v>13500</v>
      </c>
    </row>
    <row r="11" spans="2:4" x14ac:dyDescent="0.3">
      <c r="B11" t="s">
        <v>5</v>
      </c>
      <c r="C11" s="3">
        <v>2000</v>
      </c>
      <c r="D11" s="3">
        <v>2250</v>
      </c>
    </row>
    <row r="12" spans="2:4" x14ac:dyDescent="0.3">
      <c r="B12" t="s">
        <v>6</v>
      </c>
      <c r="C12" s="2">
        <v>10000</v>
      </c>
      <c r="D12" s="2">
        <v>11250</v>
      </c>
    </row>
    <row r="13" spans="2:4" x14ac:dyDescent="0.3">
      <c r="B13" t="s">
        <v>7</v>
      </c>
      <c r="C13" s="4">
        <v>800</v>
      </c>
      <c r="D13" s="4">
        <v>900</v>
      </c>
    </row>
    <row r="14" spans="2:4" x14ac:dyDescent="0.3">
      <c r="B14" t="s">
        <v>8</v>
      </c>
      <c r="C14" s="4">
        <v>200</v>
      </c>
      <c r="D14" s="4">
        <v>225</v>
      </c>
    </row>
    <row r="15" spans="2:4" x14ac:dyDescent="0.3">
      <c r="B15" t="s">
        <v>9</v>
      </c>
      <c r="C15" s="2">
        <v>9000</v>
      </c>
      <c r="D15" s="2">
        <v>10125</v>
      </c>
    </row>
    <row r="16" spans="2:4" x14ac:dyDescent="0.3">
      <c r="B16" t="s">
        <v>10</v>
      </c>
      <c r="C16" s="3">
        <v>2700</v>
      </c>
      <c r="D16" s="3">
        <v>3037.5</v>
      </c>
    </row>
    <row r="17" spans="2:4" x14ac:dyDescent="0.3">
      <c r="B17" t="s">
        <v>11</v>
      </c>
      <c r="C17" s="2">
        <v>6300</v>
      </c>
      <c r="D17" s="2">
        <v>7087.5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7E92-70A5-46C9-828D-724F24CD4B36}">
  <dimension ref="C1:Y27"/>
  <sheetViews>
    <sheetView showGridLines="0" tabSelected="1" topLeftCell="J3" workbookViewId="0">
      <selection activeCell="Z12" sqref="Z12"/>
    </sheetView>
  </sheetViews>
  <sheetFormatPr defaultRowHeight="14.4" x14ac:dyDescent="0.3"/>
  <cols>
    <col min="1" max="1" width="1.88671875" customWidth="1"/>
    <col min="3" max="3" width="13.21875" bestFit="1" customWidth="1"/>
    <col min="4" max="4" width="7" bestFit="1" customWidth="1"/>
    <col min="6" max="6" width="18" bestFit="1" customWidth="1"/>
    <col min="7" max="7" width="7" bestFit="1" customWidth="1"/>
    <col min="10" max="10" width="11.109375" bestFit="1" customWidth="1"/>
    <col min="11" max="11" width="9.77734375" bestFit="1" customWidth="1"/>
    <col min="12" max="12" width="11.5546875" bestFit="1" customWidth="1"/>
    <col min="15" max="15" width="13.6640625" bestFit="1" customWidth="1"/>
    <col min="16" max="16" width="10.6640625" bestFit="1" customWidth="1"/>
    <col min="18" max="18" width="11.33203125" bestFit="1" customWidth="1"/>
    <col min="19" max="19" width="10.5546875" bestFit="1" customWidth="1"/>
  </cols>
  <sheetData>
    <row r="1" spans="3:25" x14ac:dyDescent="0.3">
      <c r="C1" t="s">
        <v>35</v>
      </c>
    </row>
    <row r="8" spans="3:25" x14ac:dyDescent="0.3">
      <c r="C8" s="33" t="s">
        <v>36</v>
      </c>
      <c r="D8" s="34">
        <v>0.04</v>
      </c>
      <c r="F8" t="s">
        <v>44</v>
      </c>
      <c r="G8" s="37">
        <v>0.04</v>
      </c>
      <c r="J8" t="s">
        <v>56</v>
      </c>
      <c r="K8" s="19">
        <v>0.25</v>
      </c>
      <c r="O8" s="33" t="s">
        <v>65</v>
      </c>
      <c r="P8" s="3">
        <v>14500</v>
      </c>
    </row>
    <row r="9" spans="3:25" x14ac:dyDescent="0.3">
      <c r="C9" s="33" t="s">
        <v>37</v>
      </c>
      <c r="D9" s="34">
        <v>0.1</v>
      </c>
      <c r="F9" t="s">
        <v>45</v>
      </c>
      <c r="G9" s="37">
        <v>0.1</v>
      </c>
      <c r="J9" t="s">
        <v>57</v>
      </c>
      <c r="K9" s="9">
        <f>VLOOKUP(K8,J12:L15,3,1)</f>
        <v>9.5000000000000001E-2</v>
      </c>
      <c r="O9" s="33" t="s">
        <v>66</v>
      </c>
      <c r="P9" s="34">
        <v>0.1</v>
      </c>
    </row>
    <row r="10" spans="3:25" x14ac:dyDescent="0.3">
      <c r="C10" s="33" t="s">
        <v>38</v>
      </c>
      <c r="D10" s="4">
        <v>1.25</v>
      </c>
      <c r="F10" t="s">
        <v>46</v>
      </c>
      <c r="G10" s="37">
        <v>1.2500000000000001E-2</v>
      </c>
      <c r="O10" s="33" t="s">
        <v>67</v>
      </c>
      <c r="P10" s="34">
        <v>0.6</v>
      </c>
    </row>
    <row r="11" spans="3:25" ht="15" thickBot="1" x14ac:dyDescent="0.35">
      <c r="C11" s="33" t="s">
        <v>39</v>
      </c>
      <c r="D11" s="34">
        <v>0.14000000000000001</v>
      </c>
      <c r="F11" t="s">
        <v>47</v>
      </c>
      <c r="G11" s="35">
        <f>G9-G8</f>
        <v>6.0000000000000005E-2</v>
      </c>
      <c r="J11" s="38" t="s">
        <v>58</v>
      </c>
      <c r="K11" s="38" t="s">
        <v>59</v>
      </c>
      <c r="L11" s="38" t="s">
        <v>60</v>
      </c>
      <c r="O11" s="33"/>
      <c r="P11" s="33"/>
    </row>
    <row r="12" spans="3:25" x14ac:dyDescent="0.3">
      <c r="C12" s="33" t="s">
        <v>40</v>
      </c>
      <c r="D12" s="34">
        <v>0.3</v>
      </c>
      <c r="F12" t="s">
        <v>48</v>
      </c>
      <c r="G12" s="35">
        <f>((G10*G11)*100)+G8</f>
        <v>0.11500000000000002</v>
      </c>
      <c r="J12" s="34">
        <v>0</v>
      </c>
      <c r="K12" s="4" t="s">
        <v>61</v>
      </c>
      <c r="L12" s="36">
        <v>9.5000000000000001E-2</v>
      </c>
      <c r="O12" s="33" t="s">
        <v>68</v>
      </c>
      <c r="P12" s="33">
        <f>P8+(P8*P9)</f>
        <v>15950</v>
      </c>
    </row>
    <row r="13" spans="3:25" ht="15" thickBot="1" x14ac:dyDescent="0.35">
      <c r="C13" s="33" t="s">
        <v>41</v>
      </c>
      <c r="D13" s="4">
        <v>125000</v>
      </c>
      <c r="J13" s="34">
        <v>0.3</v>
      </c>
      <c r="K13" s="4" t="s">
        <v>62</v>
      </c>
      <c r="L13" s="36">
        <v>9.7500000000000003E-2</v>
      </c>
      <c r="O13" s="33" t="s">
        <v>69</v>
      </c>
      <c r="P13" s="40">
        <f>P8*(1-P10)</f>
        <v>5800</v>
      </c>
    </row>
    <row r="14" spans="3:25" ht="15" thickBot="1" x14ac:dyDescent="0.35">
      <c r="C14" s="33" t="s">
        <v>42</v>
      </c>
      <c r="D14" s="4">
        <v>125000</v>
      </c>
      <c r="F14" t="s">
        <v>49</v>
      </c>
      <c r="G14" s="19">
        <v>0.14000000000000001</v>
      </c>
      <c r="J14" s="34">
        <v>0.5</v>
      </c>
      <c r="K14" s="4" t="s">
        <v>63</v>
      </c>
      <c r="L14" s="36">
        <v>0.1225</v>
      </c>
      <c r="O14" s="33" t="s">
        <v>4</v>
      </c>
      <c r="P14" s="41">
        <f>P12-P13</f>
        <v>10150</v>
      </c>
    </row>
    <row r="15" spans="3:25" ht="15" thickTop="1" x14ac:dyDescent="0.3">
      <c r="F15" t="s">
        <v>50</v>
      </c>
      <c r="G15" s="19">
        <v>0.3</v>
      </c>
      <c r="J15" s="34">
        <v>0.6</v>
      </c>
      <c r="K15" s="4" t="s">
        <v>64</v>
      </c>
      <c r="L15" s="36">
        <v>0.13750000000000001</v>
      </c>
      <c r="R15" s="44"/>
      <c r="S15" s="17"/>
      <c r="T15" s="48" t="s">
        <v>67</v>
      </c>
      <c r="U15" s="48"/>
      <c r="V15" s="48"/>
      <c r="W15" s="48"/>
      <c r="X15" s="48"/>
      <c r="Y15" s="49"/>
    </row>
    <row r="16" spans="3:25" x14ac:dyDescent="0.3">
      <c r="C16" s="33" t="s">
        <v>43</v>
      </c>
      <c r="D16" s="35">
        <f>((RiskFreeRate+(MarketReturns-RiskFreeRate)*Beta)*(EquityValue/(EquityValue+DebtValue))+(CostofDebt*(1-TaxRate)*(DebtValue/(DebtValue+EquityValue))))</f>
        <v>0.10650000000000001</v>
      </c>
      <c r="F16" t="s">
        <v>51</v>
      </c>
      <c r="G16" s="9">
        <f>G14*(1-G15)</f>
        <v>9.8000000000000004E-2</v>
      </c>
      <c r="R16" s="45"/>
      <c r="S16" s="50"/>
      <c r="T16" s="50"/>
      <c r="U16" s="50"/>
      <c r="V16" s="50"/>
      <c r="W16" s="50"/>
      <c r="X16" s="50"/>
      <c r="Y16" s="51"/>
    </row>
    <row r="17" spans="6:25" x14ac:dyDescent="0.3">
      <c r="O17" s="42" t="s">
        <v>70</v>
      </c>
      <c r="P17" s="42" t="s">
        <v>71</v>
      </c>
      <c r="R17" s="45"/>
      <c r="S17" s="52">
        <f>P14</f>
        <v>10150</v>
      </c>
      <c r="T17" s="46">
        <v>0.4</v>
      </c>
      <c r="U17" s="47">
        <v>0.5</v>
      </c>
      <c r="V17" s="47">
        <v>0.6</v>
      </c>
      <c r="W17" s="47">
        <v>0.7</v>
      </c>
      <c r="X17" s="47">
        <v>0.8</v>
      </c>
      <c r="Y17" s="53">
        <v>0.9</v>
      </c>
    </row>
    <row r="18" spans="6:25" x14ac:dyDescent="0.3">
      <c r="F18" t="s">
        <v>52</v>
      </c>
      <c r="G18" s="31">
        <v>125000</v>
      </c>
      <c r="P18" s="39">
        <f>P14</f>
        <v>10150</v>
      </c>
      <c r="R18" s="45"/>
      <c r="S18" s="43">
        <v>0.08</v>
      </c>
      <c r="T18" s="57">
        <f t="dataTable" ref="T18:Y26" dt2D="1" dtr="1" r1="P10" r2="P9" ca="1"/>
        <v>6960</v>
      </c>
      <c r="U18" s="58">
        <v>8410</v>
      </c>
      <c r="V18" s="58">
        <v>9860</v>
      </c>
      <c r="W18" s="58">
        <v>11310</v>
      </c>
      <c r="X18" s="58">
        <v>12760</v>
      </c>
      <c r="Y18" s="59">
        <v>14210</v>
      </c>
    </row>
    <row r="19" spans="6:25" x14ac:dyDescent="0.3">
      <c r="F19" t="s">
        <v>53</v>
      </c>
      <c r="G19" s="31">
        <v>125000</v>
      </c>
      <c r="O19" s="43">
        <v>0.08</v>
      </c>
      <c r="P19" s="44">
        <f t="dataTable" ref="P19:P27" dt2D="0" dtr="0" r1="P9"/>
        <v>9860</v>
      </c>
      <c r="R19" s="45"/>
      <c r="S19" s="43">
        <v>0.1</v>
      </c>
      <c r="T19" s="60">
        <v>7250</v>
      </c>
      <c r="U19" s="52">
        <v>8700</v>
      </c>
      <c r="V19" s="52">
        <v>10150</v>
      </c>
      <c r="W19" s="52">
        <v>11600</v>
      </c>
      <c r="X19" s="52">
        <v>13050</v>
      </c>
      <c r="Y19" s="61">
        <v>14500</v>
      </c>
    </row>
    <row r="20" spans="6:25" x14ac:dyDescent="0.3">
      <c r="F20" t="s">
        <v>54</v>
      </c>
      <c r="G20" s="9">
        <f>G18/(G18+G19)</f>
        <v>0.5</v>
      </c>
      <c r="O20" s="43">
        <v>0.1</v>
      </c>
      <c r="P20">
        <v>10150</v>
      </c>
      <c r="R20" s="45"/>
      <c r="S20" s="43">
        <v>0.12</v>
      </c>
      <c r="T20" s="60">
        <v>7540</v>
      </c>
      <c r="U20" s="52">
        <v>8990</v>
      </c>
      <c r="V20" s="52">
        <v>10440</v>
      </c>
      <c r="W20" s="52">
        <v>11890</v>
      </c>
      <c r="X20" s="52">
        <v>13340</v>
      </c>
      <c r="Y20" s="61">
        <v>14790</v>
      </c>
    </row>
    <row r="21" spans="6:25" x14ac:dyDescent="0.3">
      <c r="F21" t="s">
        <v>55</v>
      </c>
      <c r="G21" s="9">
        <f>G19/(G19+G18)</f>
        <v>0.5</v>
      </c>
      <c r="O21" s="43">
        <v>0.12</v>
      </c>
      <c r="P21">
        <v>10440</v>
      </c>
      <c r="R21" s="45"/>
      <c r="S21" s="43">
        <v>0.14000000000000001</v>
      </c>
      <c r="T21" s="60">
        <v>7830</v>
      </c>
      <c r="U21" s="52">
        <v>9280</v>
      </c>
      <c r="V21" s="52">
        <v>10730</v>
      </c>
      <c r="W21" s="52">
        <v>12180</v>
      </c>
      <c r="X21" s="52">
        <v>13630</v>
      </c>
      <c r="Y21" s="61">
        <v>15080</v>
      </c>
    </row>
    <row r="22" spans="6:25" x14ac:dyDescent="0.3">
      <c r="O22" s="43">
        <v>0.14000000000000001</v>
      </c>
      <c r="P22">
        <v>10730</v>
      </c>
      <c r="R22" s="54" t="s">
        <v>70</v>
      </c>
      <c r="S22" s="43">
        <v>0.16</v>
      </c>
      <c r="T22" s="60">
        <v>8120</v>
      </c>
      <c r="U22" s="52">
        <v>9570</v>
      </c>
      <c r="V22" s="52">
        <v>11020</v>
      </c>
      <c r="W22" s="52">
        <v>12470</v>
      </c>
      <c r="X22" s="52">
        <v>13920</v>
      </c>
      <c r="Y22" s="61">
        <v>15370</v>
      </c>
    </row>
    <row r="23" spans="6:25" x14ac:dyDescent="0.3">
      <c r="F23" t="s">
        <v>43</v>
      </c>
      <c r="G23" s="9">
        <f>(Cost_of_equity*Equity_funding)+(Post_tax_cost_of_debt*Debt_funding)</f>
        <v>0.10650000000000001</v>
      </c>
      <c r="O23" s="43">
        <v>0.16</v>
      </c>
      <c r="P23">
        <v>11020</v>
      </c>
      <c r="R23" s="45"/>
      <c r="S23" s="43">
        <v>0.18</v>
      </c>
      <c r="T23" s="60">
        <v>8410</v>
      </c>
      <c r="U23" s="52">
        <v>9860</v>
      </c>
      <c r="V23" s="52">
        <v>11310</v>
      </c>
      <c r="W23" s="52">
        <v>12760</v>
      </c>
      <c r="X23" s="52">
        <v>14210</v>
      </c>
      <c r="Y23" s="61">
        <v>15660</v>
      </c>
    </row>
    <row r="24" spans="6:25" x14ac:dyDescent="0.3">
      <c r="O24" s="43">
        <v>0.18</v>
      </c>
      <c r="P24">
        <v>11310</v>
      </c>
      <c r="R24" s="45"/>
      <c r="S24" s="43">
        <v>0.2</v>
      </c>
      <c r="T24" s="60">
        <v>8700</v>
      </c>
      <c r="U24" s="52">
        <v>10150</v>
      </c>
      <c r="V24" s="52">
        <v>11600</v>
      </c>
      <c r="W24" s="52">
        <v>13050</v>
      </c>
      <c r="X24" s="52">
        <v>14500</v>
      </c>
      <c r="Y24" s="61">
        <v>15950</v>
      </c>
    </row>
    <row r="25" spans="6:25" x14ac:dyDescent="0.3">
      <c r="O25" s="43">
        <v>0.2</v>
      </c>
      <c r="P25">
        <v>11600</v>
      </c>
      <c r="R25" s="45"/>
      <c r="S25" s="43">
        <v>0.22</v>
      </c>
      <c r="T25" s="60">
        <v>8990</v>
      </c>
      <c r="U25" s="52">
        <v>10440</v>
      </c>
      <c r="V25" s="52">
        <v>11890</v>
      </c>
      <c r="W25" s="52">
        <v>13340</v>
      </c>
      <c r="X25" s="52">
        <v>14790</v>
      </c>
      <c r="Y25" s="61">
        <v>16240</v>
      </c>
    </row>
    <row r="26" spans="6:25" x14ac:dyDescent="0.3">
      <c r="O26" s="43">
        <v>0.22</v>
      </c>
      <c r="P26">
        <v>11890</v>
      </c>
      <c r="R26" s="55"/>
      <c r="S26" s="56">
        <v>0.24</v>
      </c>
      <c r="T26" s="62">
        <v>9280</v>
      </c>
      <c r="U26" s="63">
        <v>10730</v>
      </c>
      <c r="V26" s="63">
        <v>12180</v>
      </c>
      <c r="W26" s="63">
        <v>13630</v>
      </c>
      <c r="X26" s="63">
        <v>15080</v>
      </c>
      <c r="Y26" s="64">
        <v>16530</v>
      </c>
    </row>
    <row r="27" spans="6:25" x14ac:dyDescent="0.3">
      <c r="O27" s="43">
        <v>0.24</v>
      </c>
      <c r="P27">
        <v>12180</v>
      </c>
    </row>
  </sheetData>
  <scenarios current="0" sqref="P12:P14">
    <scenario name="Base Case" locked="1" count="3" user="Sashank" comment="Created by Sashank on 18-12-2023">
      <inputCells r="P8" val="14500" numFmtId="4"/>
      <inputCells r="P9" val="0.1" numFmtId="9"/>
      <inputCells r="P10" val="0.6" numFmtId="9"/>
    </scenario>
    <scenario name="Worst Case" locked="1" count="3" user="Sashank" comment="Created by Sashank on 18-12-2023">
      <inputCells r="P8" val="12000" numFmtId="4"/>
      <inputCells r="P9" val="0.6" numFmtId="9"/>
      <inputCells r="P10" val="0.5" numFmtId="9"/>
    </scenario>
    <scenario name="Best Case" locked="1" count="3" user="Sashank" comment="Created by Sashank on 18-12-2023">
      <inputCells r="P8" val="16000" numFmtId="4"/>
      <inputCells r="P9" val="0.3" numFmtId="9"/>
      <inputCells r="P10" val="0.7" numFmtId="9"/>
    </scenario>
  </scenarios>
  <mergeCells count="1">
    <mergeCell ref="T15:Y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Session 1</vt:lpstr>
      <vt:lpstr>Session 2</vt:lpstr>
      <vt:lpstr>Sheet2</vt:lpstr>
      <vt:lpstr>Session 3</vt:lpstr>
      <vt:lpstr>Beta</vt:lpstr>
      <vt:lpstr>Cost_of_equity</vt:lpstr>
      <vt:lpstr>CostofDebt</vt:lpstr>
      <vt:lpstr>Debt_funding</vt:lpstr>
      <vt:lpstr>DebtValue</vt:lpstr>
      <vt:lpstr>Equity_funding</vt:lpstr>
      <vt:lpstr>EquityValue</vt:lpstr>
      <vt:lpstr>MarketReturns</vt:lpstr>
      <vt:lpstr>Post_tax_cost_of_debt</vt:lpstr>
      <vt:lpstr>RiskFreeRate</vt:lpstr>
      <vt:lpstr>TaxRate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Sashank Sai Devareddy</dc:creator>
  <cp:lastModifiedBy>Sashank</cp:lastModifiedBy>
  <dcterms:created xsi:type="dcterms:W3CDTF">2023-12-04T09:58:31Z</dcterms:created>
  <dcterms:modified xsi:type="dcterms:W3CDTF">2023-12-19T03:43:02Z</dcterms:modified>
</cp:coreProperties>
</file>