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BF8A588-A333-4CBC-980B-339C6B32A2E6}" xr6:coauthVersionLast="47" xr6:coauthVersionMax="47" xr10:uidLastSave="{00000000-0000-0000-0000-000000000000}"/>
  <bookViews>
    <workbookView minimized="1" xWindow="1428" yWindow="1428" windowWidth="17280" windowHeight="8880" tabRatio="661" firstSheet="5" activeTab="7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Financials&gt;" sheetId="7" r:id="rId6"/>
    <sheet name="HistoricalFS" sheetId="8" r:id="rId7"/>
    <sheet name="Ratio Analysis" sheetId="11" r:id="rId8"/>
    <sheet name="Data&gt;" sheetId="9" r:id="rId9"/>
    <sheet name="Data Sheet" sheetId="6" r:id="rId10"/>
    <sheet name="Cash flow data" sheetId="10" r:id="rId11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1" l="1"/>
  <c r="O7" i="11"/>
  <c r="M43" i="11"/>
  <c r="L43" i="11"/>
  <c r="K43" i="11"/>
  <c r="J43" i="11"/>
  <c r="I43" i="11"/>
  <c r="H43" i="11"/>
  <c r="G43" i="11"/>
  <c r="F43" i="11"/>
  <c r="E43" i="11"/>
  <c r="P43" i="11" s="1"/>
  <c r="M42" i="11"/>
  <c r="L42" i="11"/>
  <c r="K42" i="11"/>
  <c r="J42" i="11"/>
  <c r="I42" i="11"/>
  <c r="H42" i="11"/>
  <c r="G42" i="11"/>
  <c r="F42" i="11"/>
  <c r="E42" i="11"/>
  <c r="M41" i="11"/>
  <c r="L41" i="11"/>
  <c r="K41" i="11"/>
  <c r="J41" i="11"/>
  <c r="I41" i="11"/>
  <c r="H41" i="11"/>
  <c r="G41" i="11"/>
  <c r="F41" i="11"/>
  <c r="E41" i="11"/>
  <c r="D43" i="11"/>
  <c r="O43" i="11" s="1"/>
  <c r="D42" i="11"/>
  <c r="P42" i="11" s="1"/>
  <c r="D41" i="11"/>
  <c r="P41" i="11" s="1"/>
  <c r="J38" i="11"/>
  <c r="G38" i="11"/>
  <c r="M37" i="11"/>
  <c r="G37" i="11"/>
  <c r="M36" i="11"/>
  <c r="J36" i="11"/>
  <c r="D37" i="11"/>
  <c r="D36" i="11"/>
  <c r="M33" i="11"/>
  <c r="L33" i="11"/>
  <c r="K33" i="11"/>
  <c r="J33" i="11"/>
  <c r="I33" i="11"/>
  <c r="H33" i="11"/>
  <c r="G33" i="11"/>
  <c r="F33" i="11"/>
  <c r="E33" i="11"/>
  <c r="O33" i="11" s="1"/>
  <c r="M32" i="11"/>
  <c r="L32" i="11"/>
  <c r="K32" i="11"/>
  <c r="J32" i="11"/>
  <c r="I32" i="11"/>
  <c r="H32" i="11"/>
  <c r="G32" i="11"/>
  <c r="F32" i="11"/>
  <c r="E32" i="11"/>
  <c r="M31" i="11"/>
  <c r="M38" i="11" s="1"/>
  <c r="L31" i="11"/>
  <c r="L38" i="11" s="1"/>
  <c r="K31" i="11"/>
  <c r="K38" i="11" s="1"/>
  <c r="J31" i="11"/>
  <c r="I31" i="11"/>
  <c r="I38" i="11" s="1"/>
  <c r="H31" i="11"/>
  <c r="H38" i="11" s="1"/>
  <c r="G31" i="11"/>
  <c r="F31" i="11"/>
  <c r="F38" i="11" s="1"/>
  <c r="E31" i="11"/>
  <c r="E38" i="11" s="1"/>
  <c r="M30" i="11"/>
  <c r="L30" i="11"/>
  <c r="L37" i="11" s="1"/>
  <c r="K30" i="11"/>
  <c r="K37" i="11" s="1"/>
  <c r="J30" i="11"/>
  <c r="J37" i="11" s="1"/>
  <c r="J39" i="11" s="1"/>
  <c r="I30" i="11"/>
  <c r="I37" i="11" s="1"/>
  <c r="I39" i="11" s="1"/>
  <c r="H30" i="11"/>
  <c r="O30" i="11" s="1"/>
  <c r="G30" i="11"/>
  <c r="F30" i="11"/>
  <c r="F37" i="11" s="1"/>
  <c r="E30" i="11"/>
  <c r="P30" i="11" s="1"/>
  <c r="M29" i="11"/>
  <c r="L29" i="11"/>
  <c r="L36" i="11" s="1"/>
  <c r="K29" i="11"/>
  <c r="K36" i="11" s="1"/>
  <c r="J29" i="11"/>
  <c r="I29" i="11"/>
  <c r="I36" i="11" s="1"/>
  <c r="H29" i="11"/>
  <c r="H36" i="11" s="1"/>
  <c r="G29" i="11"/>
  <c r="G36" i="11" s="1"/>
  <c r="G39" i="11" s="1"/>
  <c r="F29" i="11"/>
  <c r="F36" i="11" s="1"/>
  <c r="F39" i="11" s="1"/>
  <c r="E29" i="11"/>
  <c r="E36" i="11" s="1"/>
  <c r="D33" i="11"/>
  <c r="P33" i="11" s="1"/>
  <c r="D32" i="11"/>
  <c r="P32" i="11" s="1"/>
  <c r="D31" i="11"/>
  <c r="O31" i="11" s="1"/>
  <c r="D30" i="11"/>
  <c r="D29" i="11"/>
  <c r="M27" i="11"/>
  <c r="L27" i="11"/>
  <c r="K27" i="11"/>
  <c r="J27" i="11"/>
  <c r="I27" i="11"/>
  <c r="H27" i="11"/>
  <c r="G27" i="11"/>
  <c r="F27" i="11"/>
  <c r="E27" i="11"/>
  <c r="D27" i="11"/>
  <c r="O27" i="11" s="1"/>
  <c r="K26" i="11"/>
  <c r="H26" i="11"/>
  <c r="G26" i="11"/>
  <c r="F26" i="11"/>
  <c r="E26" i="11"/>
  <c r="M25" i="11"/>
  <c r="L25" i="11"/>
  <c r="K25" i="11"/>
  <c r="J25" i="11"/>
  <c r="I25" i="11"/>
  <c r="H25" i="11"/>
  <c r="G25" i="11"/>
  <c r="F25" i="11"/>
  <c r="E25" i="11"/>
  <c r="O25" i="11" s="1"/>
  <c r="M24" i="11"/>
  <c r="M26" i="11" s="1"/>
  <c r="L24" i="11"/>
  <c r="L26" i="11" s="1"/>
  <c r="K24" i="11"/>
  <c r="J24" i="11"/>
  <c r="J26" i="11" s="1"/>
  <c r="I24" i="11"/>
  <c r="P24" i="11" s="1"/>
  <c r="H24" i="11"/>
  <c r="G24" i="11"/>
  <c r="F24" i="11"/>
  <c r="E24" i="11"/>
  <c r="M23" i="11"/>
  <c r="L23" i="11"/>
  <c r="K23" i="11"/>
  <c r="J23" i="11"/>
  <c r="I23" i="11"/>
  <c r="O23" i="11" s="1"/>
  <c r="H23" i="11"/>
  <c r="G23" i="11"/>
  <c r="F23" i="11"/>
  <c r="P23" i="11" s="1"/>
  <c r="E23" i="11"/>
  <c r="D25" i="11"/>
  <c r="P25" i="11" s="1"/>
  <c r="D24" i="11"/>
  <c r="D26" i="11" s="1"/>
  <c r="D23" i="11"/>
  <c r="M20" i="11"/>
  <c r="L20" i="11"/>
  <c r="K20" i="11"/>
  <c r="J20" i="11"/>
  <c r="I20" i="11"/>
  <c r="H20" i="11"/>
  <c r="G20" i="11"/>
  <c r="F20" i="11"/>
  <c r="E20" i="11"/>
  <c r="M19" i="11"/>
  <c r="L19" i="11"/>
  <c r="K19" i="11"/>
  <c r="J19" i="11"/>
  <c r="I19" i="11"/>
  <c r="H19" i="11"/>
  <c r="G19" i="11"/>
  <c r="F19" i="11"/>
  <c r="E19" i="11"/>
  <c r="O19" i="11" s="1"/>
  <c r="D21" i="11"/>
  <c r="D20" i="11"/>
  <c r="O20" i="11" s="1"/>
  <c r="D19" i="11"/>
  <c r="P19" i="11" s="1"/>
  <c r="M15" i="11"/>
  <c r="L15" i="11"/>
  <c r="K15" i="11"/>
  <c r="J15" i="11"/>
  <c r="I15" i="11"/>
  <c r="H15" i="11"/>
  <c r="G15" i="11"/>
  <c r="F15" i="11"/>
  <c r="E15" i="11"/>
  <c r="M14" i="11"/>
  <c r="L14" i="11"/>
  <c r="K14" i="11"/>
  <c r="J14" i="11"/>
  <c r="I14" i="11"/>
  <c r="H14" i="11"/>
  <c r="G14" i="11"/>
  <c r="F14" i="11"/>
  <c r="E14" i="11"/>
  <c r="M13" i="11"/>
  <c r="M21" i="11" s="1"/>
  <c r="L13" i="11"/>
  <c r="L21" i="11" s="1"/>
  <c r="K13" i="11"/>
  <c r="K21" i="11" s="1"/>
  <c r="J13" i="11"/>
  <c r="J21" i="11" s="1"/>
  <c r="I13" i="11"/>
  <c r="I21" i="11" s="1"/>
  <c r="H13" i="11"/>
  <c r="H21" i="11" s="1"/>
  <c r="G13" i="11"/>
  <c r="G21" i="11" s="1"/>
  <c r="F13" i="11"/>
  <c r="P13" i="11" s="1"/>
  <c r="E13" i="11"/>
  <c r="E21" i="11" s="1"/>
  <c r="M12" i="11"/>
  <c r="L12" i="11"/>
  <c r="K12" i="11"/>
  <c r="J12" i="11"/>
  <c r="I12" i="11"/>
  <c r="H12" i="11"/>
  <c r="G12" i="11"/>
  <c r="F12" i="11"/>
  <c r="E12" i="11"/>
  <c r="M11" i="11"/>
  <c r="L11" i="11"/>
  <c r="K11" i="11"/>
  <c r="J11" i="11"/>
  <c r="I11" i="11"/>
  <c r="H11" i="11"/>
  <c r="G11" i="11"/>
  <c r="F11" i="11"/>
  <c r="E11" i="11"/>
  <c r="D15" i="11"/>
  <c r="P15" i="11" s="1"/>
  <c r="D14" i="11"/>
  <c r="P14" i="11" s="1"/>
  <c r="D13" i="11"/>
  <c r="D12" i="11"/>
  <c r="P12" i="11" s="1"/>
  <c r="D11" i="11"/>
  <c r="O11" i="11" s="1"/>
  <c r="F5" i="11"/>
  <c r="G5" i="11"/>
  <c r="H5" i="11"/>
  <c r="I5" i="11"/>
  <c r="J5" i="11"/>
  <c r="K5" i="11"/>
  <c r="L5" i="11"/>
  <c r="M5" i="11"/>
  <c r="F6" i="11"/>
  <c r="G6" i="11"/>
  <c r="H6" i="11"/>
  <c r="I6" i="11"/>
  <c r="J6" i="11"/>
  <c r="K6" i="11"/>
  <c r="L6" i="11"/>
  <c r="M6" i="11"/>
  <c r="F7" i="11"/>
  <c r="G7" i="11"/>
  <c r="H7" i="11"/>
  <c r="I7" i="11"/>
  <c r="J7" i="11"/>
  <c r="K7" i="11"/>
  <c r="L7" i="11"/>
  <c r="M7" i="11"/>
  <c r="F8" i="11"/>
  <c r="G8" i="11"/>
  <c r="H8" i="11"/>
  <c r="I8" i="11"/>
  <c r="J8" i="11"/>
  <c r="K8" i="11"/>
  <c r="L8" i="11"/>
  <c r="M8" i="11"/>
  <c r="O8" i="11" s="1"/>
  <c r="F9" i="11"/>
  <c r="O9" i="11" s="1"/>
  <c r="G9" i="11"/>
  <c r="H9" i="11"/>
  <c r="I9" i="11"/>
  <c r="J9" i="11"/>
  <c r="K9" i="11"/>
  <c r="L9" i="11"/>
  <c r="M9" i="11"/>
  <c r="E9" i="11"/>
  <c r="P9" i="11" s="1"/>
  <c r="E8" i="11"/>
  <c r="P8" i="11" s="1"/>
  <c r="E7" i="11"/>
  <c r="P7" i="11" s="1"/>
  <c r="E6" i="11"/>
  <c r="P6" i="11" s="1"/>
  <c r="E5" i="11"/>
  <c r="P5" i="11" s="1"/>
  <c r="B2" i="11"/>
  <c r="L122" i="8"/>
  <c r="K122" i="8"/>
  <c r="J122" i="8"/>
  <c r="I122" i="8"/>
  <c r="H122" i="8"/>
  <c r="G122" i="8"/>
  <c r="F122" i="8"/>
  <c r="E122" i="8"/>
  <c r="D122" i="8"/>
  <c r="C122" i="8"/>
  <c r="L121" i="8"/>
  <c r="K121" i="8"/>
  <c r="J121" i="8"/>
  <c r="I121" i="8"/>
  <c r="H121" i="8"/>
  <c r="G121" i="8"/>
  <c r="F121" i="8"/>
  <c r="E121" i="8"/>
  <c r="D121" i="8"/>
  <c r="C121" i="8"/>
  <c r="L120" i="8"/>
  <c r="K120" i="8"/>
  <c r="J120" i="8"/>
  <c r="I120" i="8"/>
  <c r="H120" i="8"/>
  <c r="G120" i="8"/>
  <c r="F120" i="8"/>
  <c r="E120" i="8"/>
  <c r="D120" i="8"/>
  <c r="C120" i="8"/>
  <c r="L119" i="8"/>
  <c r="K119" i="8"/>
  <c r="J119" i="8"/>
  <c r="I119" i="8"/>
  <c r="H119" i="8"/>
  <c r="G119" i="8"/>
  <c r="F119" i="8"/>
  <c r="E119" i="8"/>
  <c r="D119" i="8"/>
  <c r="C119" i="8"/>
  <c r="L116" i="8"/>
  <c r="K116" i="8"/>
  <c r="J116" i="8"/>
  <c r="I116" i="8"/>
  <c r="H116" i="8"/>
  <c r="G116" i="8"/>
  <c r="F116" i="8"/>
  <c r="E116" i="8"/>
  <c r="D116" i="8"/>
  <c r="C116" i="8"/>
  <c r="L114" i="8"/>
  <c r="K114" i="8"/>
  <c r="J114" i="8"/>
  <c r="I114" i="8"/>
  <c r="H114" i="8"/>
  <c r="G114" i="8"/>
  <c r="F114" i="8"/>
  <c r="E114" i="8"/>
  <c r="D114" i="8"/>
  <c r="C114" i="8"/>
  <c r="D106" i="8"/>
  <c r="E106" i="8"/>
  <c r="F106" i="8"/>
  <c r="G106" i="8"/>
  <c r="H106" i="8"/>
  <c r="I106" i="8"/>
  <c r="J106" i="8"/>
  <c r="K106" i="8"/>
  <c r="L106" i="8"/>
  <c r="D107" i="8"/>
  <c r="E107" i="8"/>
  <c r="F107" i="8"/>
  <c r="G107" i="8"/>
  <c r="H107" i="8"/>
  <c r="I107" i="8"/>
  <c r="J107" i="8"/>
  <c r="K107" i="8"/>
  <c r="L107" i="8"/>
  <c r="D108" i="8"/>
  <c r="E108" i="8"/>
  <c r="F108" i="8"/>
  <c r="G108" i="8"/>
  <c r="H108" i="8"/>
  <c r="I108" i="8"/>
  <c r="J108" i="8"/>
  <c r="K108" i="8"/>
  <c r="L108" i="8"/>
  <c r="D109" i="8"/>
  <c r="E109" i="8"/>
  <c r="F109" i="8"/>
  <c r="G109" i="8"/>
  <c r="H109" i="8"/>
  <c r="I109" i="8"/>
  <c r="J109" i="8"/>
  <c r="K109" i="8"/>
  <c r="L109" i="8"/>
  <c r="D110" i="8"/>
  <c r="E110" i="8"/>
  <c r="F110" i="8"/>
  <c r="G110" i="8"/>
  <c r="H110" i="8"/>
  <c r="I110" i="8"/>
  <c r="J110" i="8"/>
  <c r="K110" i="8"/>
  <c r="L110" i="8"/>
  <c r="D111" i="8"/>
  <c r="E111" i="8"/>
  <c r="F111" i="8"/>
  <c r="G111" i="8"/>
  <c r="H111" i="8"/>
  <c r="I111" i="8"/>
  <c r="J111" i="8"/>
  <c r="K111" i="8"/>
  <c r="L111" i="8"/>
  <c r="D112" i="8"/>
  <c r="E112" i="8"/>
  <c r="F112" i="8"/>
  <c r="G112" i="8"/>
  <c r="H112" i="8"/>
  <c r="I112" i="8"/>
  <c r="J112" i="8"/>
  <c r="K112" i="8"/>
  <c r="L112" i="8"/>
  <c r="D113" i="8"/>
  <c r="E113" i="8"/>
  <c r="F113" i="8"/>
  <c r="G113" i="8"/>
  <c r="H113" i="8"/>
  <c r="I113" i="8"/>
  <c r="J113" i="8"/>
  <c r="K113" i="8"/>
  <c r="L113" i="8"/>
  <c r="C107" i="8"/>
  <c r="C108" i="8"/>
  <c r="C109" i="8"/>
  <c r="C110" i="8"/>
  <c r="C111" i="8"/>
  <c r="C112" i="8"/>
  <c r="C113" i="8"/>
  <c r="C106" i="8"/>
  <c r="L102" i="8"/>
  <c r="K102" i="8"/>
  <c r="J102" i="8"/>
  <c r="I102" i="8"/>
  <c r="H102" i="8"/>
  <c r="G102" i="8"/>
  <c r="F102" i="8"/>
  <c r="E102" i="8"/>
  <c r="D102" i="8"/>
  <c r="C102" i="8"/>
  <c r="L101" i="8"/>
  <c r="K101" i="8"/>
  <c r="J101" i="8"/>
  <c r="I101" i="8"/>
  <c r="H101" i="8"/>
  <c r="G101" i="8"/>
  <c r="F101" i="8"/>
  <c r="E101" i="8"/>
  <c r="D101" i="8"/>
  <c r="C101" i="8"/>
  <c r="L100" i="8"/>
  <c r="K100" i="8"/>
  <c r="J100" i="8"/>
  <c r="I100" i="8"/>
  <c r="H100" i="8"/>
  <c r="G100" i="8"/>
  <c r="F100" i="8"/>
  <c r="E100" i="8"/>
  <c r="D100" i="8"/>
  <c r="C100" i="8"/>
  <c r="L99" i="8"/>
  <c r="K99" i="8"/>
  <c r="J99" i="8"/>
  <c r="I99" i="8"/>
  <c r="H99" i="8"/>
  <c r="G99" i="8"/>
  <c r="F99" i="8"/>
  <c r="E99" i="8"/>
  <c r="D99" i="8"/>
  <c r="C99" i="8"/>
  <c r="L98" i="8"/>
  <c r="K98" i="8"/>
  <c r="J98" i="8"/>
  <c r="I98" i="8"/>
  <c r="H98" i="8"/>
  <c r="G98" i="8"/>
  <c r="F98" i="8"/>
  <c r="E98" i="8"/>
  <c r="D98" i="8"/>
  <c r="C98" i="8"/>
  <c r="L97" i="8"/>
  <c r="K97" i="8"/>
  <c r="J97" i="8"/>
  <c r="I97" i="8"/>
  <c r="H97" i="8"/>
  <c r="G97" i="8"/>
  <c r="F97" i="8"/>
  <c r="E97" i="8"/>
  <c r="D97" i="8"/>
  <c r="C97" i="8"/>
  <c r="L96" i="8"/>
  <c r="K96" i="8"/>
  <c r="J96" i="8"/>
  <c r="I96" i="8"/>
  <c r="H96" i="8"/>
  <c r="G96" i="8"/>
  <c r="F96" i="8"/>
  <c r="E96" i="8"/>
  <c r="D96" i="8"/>
  <c r="C96" i="8"/>
  <c r="L95" i="8"/>
  <c r="K95" i="8"/>
  <c r="J95" i="8"/>
  <c r="I95" i="8"/>
  <c r="H95" i="8"/>
  <c r="G95" i="8"/>
  <c r="F95" i="8"/>
  <c r="E95" i="8"/>
  <c r="D95" i="8"/>
  <c r="C95" i="8"/>
  <c r="L94" i="8"/>
  <c r="K94" i="8"/>
  <c r="J94" i="8"/>
  <c r="I94" i="8"/>
  <c r="H94" i="8"/>
  <c r="G94" i="8"/>
  <c r="F94" i="8"/>
  <c r="E94" i="8"/>
  <c r="D94" i="8"/>
  <c r="C94" i="8"/>
  <c r="L93" i="8"/>
  <c r="K93" i="8"/>
  <c r="J93" i="8"/>
  <c r="I93" i="8"/>
  <c r="H93" i="8"/>
  <c r="G93" i="8"/>
  <c r="F93" i="8"/>
  <c r="E93" i="8"/>
  <c r="D93" i="8"/>
  <c r="C93" i="8"/>
  <c r="L92" i="8"/>
  <c r="K92" i="8"/>
  <c r="J92" i="8"/>
  <c r="I92" i="8"/>
  <c r="H92" i="8"/>
  <c r="G92" i="8"/>
  <c r="F92" i="8"/>
  <c r="E92" i="8"/>
  <c r="D92" i="8"/>
  <c r="C92" i="8"/>
  <c r="L91" i="8"/>
  <c r="K91" i="8"/>
  <c r="J91" i="8"/>
  <c r="I91" i="8"/>
  <c r="H91" i="8"/>
  <c r="G91" i="8"/>
  <c r="F91" i="8"/>
  <c r="E91" i="8"/>
  <c r="D91" i="8"/>
  <c r="C91" i="8"/>
  <c r="L90" i="8"/>
  <c r="K90" i="8"/>
  <c r="J90" i="8"/>
  <c r="I90" i="8"/>
  <c r="H90" i="8"/>
  <c r="G90" i="8"/>
  <c r="F90" i="8"/>
  <c r="E90" i="8"/>
  <c r="D90" i="8"/>
  <c r="C90" i="8"/>
  <c r="D86" i="8"/>
  <c r="E86" i="8"/>
  <c r="F86" i="8"/>
  <c r="G86" i="8"/>
  <c r="H86" i="8"/>
  <c r="I86" i="8"/>
  <c r="J86" i="8"/>
  <c r="K86" i="8"/>
  <c r="L86" i="8"/>
  <c r="C86" i="8"/>
  <c r="D78" i="8"/>
  <c r="E78" i="8"/>
  <c r="F78" i="8"/>
  <c r="G78" i="8"/>
  <c r="H78" i="8"/>
  <c r="I78" i="8"/>
  <c r="J78" i="8"/>
  <c r="K78" i="8"/>
  <c r="L78" i="8"/>
  <c r="D79" i="8"/>
  <c r="E79" i="8"/>
  <c r="F79" i="8"/>
  <c r="G79" i="8"/>
  <c r="H79" i="8"/>
  <c r="I79" i="8"/>
  <c r="J79" i="8"/>
  <c r="K79" i="8"/>
  <c r="L79" i="8"/>
  <c r="D80" i="8"/>
  <c r="E80" i="8"/>
  <c r="F80" i="8"/>
  <c r="G80" i="8"/>
  <c r="H80" i="8"/>
  <c r="I80" i="8"/>
  <c r="J80" i="8"/>
  <c r="K80" i="8"/>
  <c r="L80" i="8"/>
  <c r="D81" i="8"/>
  <c r="E81" i="8"/>
  <c r="F81" i="8"/>
  <c r="G81" i="8"/>
  <c r="H81" i="8"/>
  <c r="I81" i="8"/>
  <c r="J81" i="8"/>
  <c r="K81" i="8"/>
  <c r="L81" i="8"/>
  <c r="D82" i="8"/>
  <c r="E82" i="8"/>
  <c r="F82" i="8"/>
  <c r="G82" i="8"/>
  <c r="H82" i="8"/>
  <c r="I82" i="8"/>
  <c r="J82" i="8"/>
  <c r="K82" i="8"/>
  <c r="L82" i="8"/>
  <c r="D83" i="8"/>
  <c r="E83" i="8"/>
  <c r="F83" i="8"/>
  <c r="G83" i="8"/>
  <c r="H83" i="8"/>
  <c r="I83" i="8"/>
  <c r="J83" i="8"/>
  <c r="K83" i="8"/>
  <c r="L83" i="8"/>
  <c r="D84" i="8"/>
  <c r="E84" i="8"/>
  <c r="F84" i="8"/>
  <c r="G84" i="8"/>
  <c r="H84" i="8"/>
  <c r="I84" i="8"/>
  <c r="J84" i="8"/>
  <c r="K84" i="8"/>
  <c r="L84" i="8"/>
  <c r="D85" i="8"/>
  <c r="E85" i="8"/>
  <c r="F85" i="8"/>
  <c r="G85" i="8"/>
  <c r="H85" i="8"/>
  <c r="I85" i="8"/>
  <c r="J85" i="8"/>
  <c r="K85" i="8"/>
  <c r="L85" i="8"/>
  <c r="C79" i="8"/>
  <c r="C80" i="8"/>
  <c r="C81" i="8"/>
  <c r="C82" i="8"/>
  <c r="C83" i="8"/>
  <c r="C84" i="8"/>
  <c r="C85" i="8"/>
  <c r="C78" i="8"/>
  <c r="E39" i="11" l="1"/>
  <c r="P21" i="11"/>
  <c r="K39" i="11"/>
  <c r="L39" i="11"/>
  <c r="O36" i="11"/>
  <c r="O26" i="11"/>
  <c r="P26" i="11"/>
  <c r="O5" i="11"/>
  <c r="F21" i="11"/>
  <c r="O21" i="11" s="1"/>
  <c r="P11" i="11"/>
  <c r="P27" i="11"/>
  <c r="P36" i="11"/>
  <c r="E37" i="11"/>
  <c r="O12" i="11"/>
  <c r="O29" i="11"/>
  <c r="D38" i="11"/>
  <c r="O6" i="11"/>
  <c r="P29" i="11"/>
  <c r="H37" i="11"/>
  <c r="H39" i="11" s="1"/>
  <c r="O15" i="11"/>
  <c r="O32" i="11"/>
  <c r="O41" i="11"/>
  <c r="O13" i="11"/>
  <c r="O14" i="11"/>
  <c r="P31" i="11"/>
  <c r="I26" i="11"/>
  <c r="O42" i="11"/>
  <c r="O24" i="11"/>
  <c r="M39" i="11"/>
  <c r="D71" i="8"/>
  <c r="E71" i="8"/>
  <c r="F71" i="8"/>
  <c r="G71" i="8"/>
  <c r="H71" i="8"/>
  <c r="I71" i="8"/>
  <c r="J71" i="8"/>
  <c r="K71" i="8"/>
  <c r="L71" i="8"/>
  <c r="C71" i="8"/>
  <c r="L69" i="8"/>
  <c r="K69" i="8"/>
  <c r="J69" i="8"/>
  <c r="I69" i="8"/>
  <c r="H69" i="8"/>
  <c r="G69" i="8"/>
  <c r="F69" i="8"/>
  <c r="E69" i="8"/>
  <c r="D69" i="8"/>
  <c r="C69" i="8"/>
  <c r="L62" i="8"/>
  <c r="K62" i="8"/>
  <c r="J62" i="8"/>
  <c r="I62" i="8"/>
  <c r="H62" i="8"/>
  <c r="G62" i="8"/>
  <c r="F62" i="8"/>
  <c r="E62" i="8"/>
  <c r="D62" i="8"/>
  <c r="C62" i="8"/>
  <c r="C61" i="8"/>
  <c r="D61" i="8"/>
  <c r="E61" i="8"/>
  <c r="F61" i="8"/>
  <c r="G61" i="8"/>
  <c r="H61" i="8"/>
  <c r="I61" i="8"/>
  <c r="J61" i="8"/>
  <c r="K61" i="8"/>
  <c r="L61" i="8"/>
  <c r="O37" i="11" l="1"/>
  <c r="P37" i="11"/>
  <c r="D39" i="11"/>
  <c r="P38" i="11"/>
  <c r="O38" i="11"/>
  <c r="L67" i="8"/>
  <c r="K67" i="8"/>
  <c r="J67" i="8"/>
  <c r="I67" i="8"/>
  <c r="H67" i="8"/>
  <c r="G67" i="8"/>
  <c r="F67" i="8"/>
  <c r="E67" i="8"/>
  <c r="D67" i="8"/>
  <c r="C67" i="8"/>
  <c r="D64" i="8"/>
  <c r="E64" i="8"/>
  <c r="F64" i="8"/>
  <c r="G64" i="8"/>
  <c r="H64" i="8"/>
  <c r="I64" i="8"/>
  <c r="J64" i="8"/>
  <c r="K64" i="8"/>
  <c r="L64" i="8"/>
  <c r="D65" i="8"/>
  <c r="E65" i="8"/>
  <c r="F65" i="8"/>
  <c r="G65" i="8"/>
  <c r="H65" i="8"/>
  <c r="I65" i="8"/>
  <c r="J65" i="8"/>
  <c r="K65" i="8"/>
  <c r="L65" i="8"/>
  <c r="D66" i="8"/>
  <c r="E66" i="8"/>
  <c r="F66" i="8"/>
  <c r="G66" i="8"/>
  <c r="H66" i="8"/>
  <c r="I66" i="8"/>
  <c r="J66" i="8"/>
  <c r="K66" i="8"/>
  <c r="L66" i="8"/>
  <c r="C65" i="8"/>
  <c r="C66" i="8"/>
  <c r="C64" i="8"/>
  <c r="D58" i="8"/>
  <c r="E58" i="8"/>
  <c r="F58" i="8"/>
  <c r="G58" i="8"/>
  <c r="H58" i="8"/>
  <c r="I58" i="8"/>
  <c r="J58" i="8"/>
  <c r="K58" i="8"/>
  <c r="L58" i="8"/>
  <c r="D59" i="8"/>
  <c r="E59" i="8"/>
  <c r="F59" i="8"/>
  <c r="G59" i="8"/>
  <c r="H59" i="8"/>
  <c r="I59" i="8"/>
  <c r="J59" i="8"/>
  <c r="K59" i="8"/>
  <c r="L59" i="8"/>
  <c r="D60" i="8"/>
  <c r="E60" i="8"/>
  <c r="F60" i="8"/>
  <c r="G60" i="8"/>
  <c r="H60" i="8"/>
  <c r="I60" i="8"/>
  <c r="J60" i="8"/>
  <c r="K60" i="8"/>
  <c r="L60" i="8"/>
  <c r="C59" i="8"/>
  <c r="C60" i="8"/>
  <c r="C58" i="8"/>
  <c r="D52" i="8"/>
  <c r="E52" i="8"/>
  <c r="F52" i="8"/>
  <c r="G52" i="8"/>
  <c r="H52" i="8"/>
  <c r="I52" i="8"/>
  <c r="J52" i="8"/>
  <c r="K52" i="8"/>
  <c r="L52" i="8"/>
  <c r="D53" i="8"/>
  <c r="E53" i="8"/>
  <c r="F53" i="8"/>
  <c r="G53" i="8"/>
  <c r="H53" i="8"/>
  <c r="I53" i="8"/>
  <c r="J53" i="8"/>
  <c r="K53" i="8"/>
  <c r="L53" i="8"/>
  <c r="D54" i="8"/>
  <c r="E54" i="8"/>
  <c r="F54" i="8"/>
  <c r="G54" i="8"/>
  <c r="H54" i="8"/>
  <c r="I54" i="8"/>
  <c r="J54" i="8"/>
  <c r="K54" i="8"/>
  <c r="L54" i="8"/>
  <c r="D55" i="8"/>
  <c r="E55" i="8"/>
  <c r="F55" i="8"/>
  <c r="G55" i="8"/>
  <c r="H55" i="8"/>
  <c r="I55" i="8"/>
  <c r="J55" i="8"/>
  <c r="K55" i="8"/>
  <c r="L55" i="8"/>
  <c r="D56" i="8"/>
  <c r="E56" i="8"/>
  <c r="F56" i="8"/>
  <c r="G56" i="8"/>
  <c r="H56" i="8"/>
  <c r="I56" i="8"/>
  <c r="J56" i="8"/>
  <c r="K56" i="8"/>
  <c r="L56" i="8"/>
  <c r="C53" i="8"/>
  <c r="C54" i="8"/>
  <c r="C55" i="8"/>
  <c r="C56" i="8"/>
  <c r="M52" i="8"/>
  <c r="C52" i="8"/>
  <c r="M45" i="8"/>
  <c r="C45" i="8"/>
  <c r="D40" i="8"/>
  <c r="D45" i="8" s="1"/>
  <c r="E40" i="8"/>
  <c r="E45" i="8" s="1"/>
  <c r="F40" i="8"/>
  <c r="F45" i="8" s="1"/>
  <c r="G40" i="8"/>
  <c r="G45" i="8" s="1"/>
  <c r="H40" i="8"/>
  <c r="H45" i="8" s="1"/>
  <c r="I40" i="8"/>
  <c r="I45" i="8" s="1"/>
  <c r="J40" i="8"/>
  <c r="J45" i="8" s="1"/>
  <c r="K40" i="8"/>
  <c r="K45" i="8" s="1"/>
  <c r="L40" i="8"/>
  <c r="L45" i="8" s="1"/>
  <c r="M40" i="8"/>
  <c r="C40" i="8"/>
  <c r="M33" i="8"/>
  <c r="D33" i="8"/>
  <c r="E33" i="8"/>
  <c r="F33" i="8"/>
  <c r="G33" i="8"/>
  <c r="H33" i="8"/>
  <c r="I33" i="8"/>
  <c r="J33" i="8"/>
  <c r="K33" i="8"/>
  <c r="L33" i="8"/>
  <c r="C33" i="8"/>
  <c r="M26" i="8"/>
  <c r="D26" i="8"/>
  <c r="E26" i="8"/>
  <c r="F26" i="8"/>
  <c r="G26" i="8"/>
  <c r="H26" i="8"/>
  <c r="I26" i="8"/>
  <c r="J26" i="8"/>
  <c r="K26" i="8"/>
  <c r="L26" i="8"/>
  <c r="C26" i="8"/>
  <c r="M22" i="8"/>
  <c r="D22" i="8"/>
  <c r="E22" i="8"/>
  <c r="F22" i="8"/>
  <c r="G22" i="8"/>
  <c r="H22" i="8"/>
  <c r="I22" i="8"/>
  <c r="J22" i="8"/>
  <c r="K22" i="8"/>
  <c r="L22" i="8"/>
  <c r="C22" i="8"/>
  <c r="C23" i="8" s="1"/>
  <c r="M15" i="8"/>
  <c r="I15" i="8"/>
  <c r="J15" i="8"/>
  <c r="K15" i="8"/>
  <c r="L15" i="8"/>
  <c r="D15" i="8"/>
  <c r="E15" i="8"/>
  <c r="F15" i="8"/>
  <c r="F16" i="8" s="1"/>
  <c r="G15" i="8"/>
  <c r="H15" i="8"/>
  <c r="H16" i="8" s="1"/>
  <c r="C15" i="8"/>
  <c r="M8" i="8"/>
  <c r="D8" i="8"/>
  <c r="E8" i="8"/>
  <c r="F8" i="8"/>
  <c r="F9" i="8" s="1"/>
  <c r="G8" i="8"/>
  <c r="G9" i="8" s="1"/>
  <c r="H8" i="8"/>
  <c r="H9" i="8" s="1"/>
  <c r="I8" i="8"/>
  <c r="I9" i="8" s="1"/>
  <c r="J8" i="8"/>
  <c r="J9" i="8" s="1"/>
  <c r="K8" i="8"/>
  <c r="K9" i="8" s="1"/>
  <c r="L8" i="8"/>
  <c r="C8" i="8"/>
  <c r="M5" i="8"/>
  <c r="D5" i="8"/>
  <c r="E5" i="8"/>
  <c r="F5" i="8"/>
  <c r="G5" i="8"/>
  <c r="G6" i="8" s="1"/>
  <c r="H5" i="8"/>
  <c r="H12" i="8" s="1"/>
  <c r="I5" i="8"/>
  <c r="I6" i="8" s="1"/>
  <c r="J5" i="8"/>
  <c r="J27" i="8" s="1"/>
  <c r="K5" i="8"/>
  <c r="K6" i="8" s="1"/>
  <c r="L5" i="8"/>
  <c r="L27" i="8" s="1"/>
  <c r="C5" i="8"/>
  <c r="C3" i="8"/>
  <c r="K3" i="8"/>
  <c r="L3" i="8"/>
  <c r="D3" i="8"/>
  <c r="E3" i="8"/>
  <c r="F3" i="8"/>
  <c r="G3" i="8"/>
  <c r="H3" i="8"/>
  <c r="I3" i="8"/>
  <c r="J3" i="8"/>
  <c r="B2" i="8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J20" i="2" s="1"/>
  <c r="K17" i="2"/>
  <c r="C18" i="2"/>
  <c r="D18" i="2"/>
  <c r="D21" i="2" s="1"/>
  <c r="E18" i="2"/>
  <c r="F18" i="2"/>
  <c r="G18" i="2"/>
  <c r="H18" i="2"/>
  <c r="I18" i="2"/>
  <c r="J18" i="2"/>
  <c r="J21" i="2" s="1"/>
  <c r="K18" i="2"/>
  <c r="K21" i="2" s="1"/>
  <c r="B17" i="2"/>
  <c r="C4" i="2"/>
  <c r="D4" i="2"/>
  <c r="E4" i="2"/>
  <c r="E5" i="2"/>
  <c r="F4" i="2"/>
  <c r="G4" i="2"/>
  <c r="H4" i="2"/>
  <c r="I4" i="2"/>
  <c r="I5" i="2"/>
  <c r="J4" i="2"/>
  <c r="J5" i="2"/>
  <c r="J23" i="2" s="1"/>
  <c r="K4" i="2"/>
  <c r="C5" i="2"/>
  <c r="D5" i="2"/>
  <c r="D23" i="2" s="1"/>
  <c r="F5" i="2"/>
  <c r="F23" i="2" s="1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D16" i="2" s="1"/>
  <c r="E13" i="2"/>
  <c r="E16" i="2" s="1"/>
  <c r="F13" i="2"/>
  <c r="G13" i="2"/>
  <c r="H13" i="2"/>
  <c r="I13" i="2"/>
  <c r="J13" i="2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E14" i="3" s="1"/>
  <c r="F4" i="3"/>
  <c r="G4" i="3"/>
  <c r="G14" i="3" s="1"/>
  <c r="H4" i="3"/>
  <c r="L4" i="1" s="1"/>
  <c r="L23" i="1" s="1"/>
  <c r="I4" i="3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L11" i="1" s="1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I23" i="1" s="1"/>
  <c r="E4" i="1"/>
  <c r="E20" i="2" s="1"/>
  <c r="F4" i="1"/>
  <c r="F20" i="2" s="1"/>
  <c r="G4" i="1"/>
  <c r="G21" i="2" s="1"/>
  <c r="H4" i="1"/>
  <c r="I4" i="1"/>
  <c r="I6" i="1" s="1"/>
  <c r="I19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F14" i="1" s="1"/>
  <c r="G12" i="1"/>
  <c r="G23" i="2" s="1"/>
  <c r="H12" i="1"/>
  <c r="I12" i="1"/>
  <c r="I13" i="1" s="1"/>
  <c r="J12" i="1"/>
  <c r="J13" i="1" s="1"/>
  <c r="J14" i="1" s="1"/>
  <c r="K12" i="1"/>
  <c r="K13" i="1" s="1"/>
  <c r="K14" i="1" s="1"/>
  <c r="C15" i="1"/>
  <c r="D15" i="1"/>
  <c r="E15" i="1"/>
  <c r="F15" i="1"/>
  <c r="G15" i="1"/>
  <c r="H15" i="1"/>
  <c r="I15" i="1"/>
  <c r="J15" i="1"/>
  <c r="K15" i="1"/>
  <c r="B15" i="1"/>
  <c r="H13" i="1"/>
  <c r="B7" i="1"/>
  <c r="B4" i="1"/>
  <c r="A1" i="1"/>
  <c r="E1" i="6"/>
  <c r="H1" i="1" s="1"/>
  <c r="E1" i="2"/>
  <c r="E1" i="3"/>
  <c r="H16" i="2"/>
  <c r="K23" i="2"/>
  <c r="C23" i="2"/>
  <c r="F16" i="2"/>
  <c r="H23" i="2"/>
  <c r="J6" i="1"/>
  <c r="J19" i="1"/>
  <c r="K6" i="1"/>
  <c r="K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E21" i="2"/>
  <c r="C21" i="2"/>
  <c r="B18" i="2"/>
  <c r="B21" i="2"/>
  <c r="B13" i="2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3" i="1"/>
  <c r="L15" i="1"/>
  <c r="B12" i="1"/>
  <c r="B13" i="1" s="1"/>
  <c r="B11" i="1"/>
  <c r="B10" i="1"/>
  <c r="B9" i="1"/>
  <c r="B8" i="1"/>
  <c r="B3" i="1"/>
  <c r="I14" i="3"/>
  <c r="K20" i="2"/>
  <c r="D20" i="2"/>
  <c r="L14" i="1"/>
  <c r="L25" i="1" s="1"/>
  <c r="L12" i="1"/>
  <c r="L6" i="1"/>
  <c r="A1" i="3"/>
  <c r="A1" i="2"/>
  <c r="A1" i="4" s="1"/>
  <c r="H23" i="1"/>
  <c r="P39" i="11" l="1"/>
  <c r="O39" i="11"/>
  <c r="F6" i="8"/>
  <c r="L16" i="8"/>
  <c r="I12" i="8"/>
  <c r="I19" i="8" s="1"/>
  <c r="I20" i="8" s="1"/>
  <c r="I16" i="8"/>
  <c r="J16" i="8"/>
  <c r="L9" i="8"/>
  <c r="C27" i="8"/>
  <c r="E12" i="8"/>
  <c r="E13" i="8" s="1"/>
  <c r="G16" i="8"/>
  <c r="D9" i="8"/>
  <c r="M6" i="8"/>
  <c r="E16" i="8"/>
  <c r="C9" i="8"/>
  <c r="H19" i="8"/>
  <c r="H20" i="8" s="1"/>
  <c r="G12" i="8"/>
  <c r="G13" i="8" s="1"/>
  <c r="H6" i="8"/>
  <c r="D23" i="8"/>
  <c r="M23" i="8"/>
  <c r="L12" i="8"/>
  <c r="K27" i="8"/>
  <c r="I23" i="8"/>
  <c r="I27" i="8"/>
  <c r="D27" i="8"/>
  <c r="K23" i="8"/>
  <c r="J12" i="8"/>
  <c r="F12" i="8"/>
  <c r="M16" i="8"/>
  <c r="H23" i="8"/>
  <c r="H27" i="8"/>
  <c r="C12" i="8"/>
  <c r="K16" i="8"/>
  <c r="G23" i="8"/>
  <c r="G27" i="8"/>
  <c r="I30" i="8"/>
  <c r="D16" i="8"/>
  <c r="F23" i="8"/>
  <c r="F27" i="8"/>
  <c r="I13" i="8"/>
  <c r="H30" i="8"/>
  <c r="M27" i="8"/>
  <c r="E23" i="8"/>
  <c r="E27" i="8"/>
  <c r="H13" i="8"/>
  <c r="E6" i="8"/>
  <c r="D6" i="8"/>
  <c r="E9" i="8"/>
  <c r="L23" i="8"/>
  <c r="J6" i="8"/>
  <c r="M12" i="8"/>
  <c r="C16" i="8"/>
  <c r="K12" i="8"/>
  <c r="L6" i="8"/>
  <c r="D12" i="8"/>
  <c r="J23" i="8"/>
  <c r="M9" i="8"/>
  <c r="N11" i="1"/>
  <c r="M11" i="1"/>
  <c r="H14" i="3"/>
  <c r="F24" i="2"/>
  <c r="G13" i="1"/>
  <c r="G14" i="1" s="1"/>
  <c r="D13" i="1"/>
  <c r="E13" i="1" s="1"/>
  <c r="L8" i="1"/>
  <c r="J24" i="2"/>
  <c r="E14" i="1"/>
  <c r="B14" i="1"/>
  <c r="L19" i="1"/>
  <c r="L24" i="1" s="1"/>
  <c r="L7" i="1"/>
  <c r="D6" i="1"/>
  <c r="D19" i="1" s="1"/>
  <c r="E6" i="1"/>
  <c r="E19" i="1" s="1"/>
  <c r="I24" i="1" s="1"/>
  <c r="I14" i="1"/>
  <c r="K25" i="1" s="1"/>
  <c r="M25" i="1" s="1"/>
  <c r="M14" i="1" s="1"/>
  <c r="C24" i="2"/>
  <c r="C20" i="2"/>
  <c r="C6" i="1"/>
  <c r="C19" i="1" s="1"/>
  <c r="H24" i="1" s="1"/>
  <c r="G6" i="1"/>
  <c r="G19" i="1" s="1"/>
  <c r="J24" i="1" s="1"/>
  <c r="N24" i="1" s="1"/>
  <c r="B20" i="2"/>
  <c r="I24" i="2"/>
  <c r="H24" i="2"/>
  <c r="K24" i="1"/>
  <c r="G20" i="2"/>
  <c r="E24" i="2"/>
  <c r="D24" i="2"/>
  <c r="F21" i="2"/>
  <c r="K24" i="2"/>
  <c r="I23" i="2"/>
  <c r="J23" i="1"/>
  <c r="N23" i="1" s="1"/>
  <c r="N4" i="1" s="1"/>
  <c r="H21" i="2"/>
  <c r="B23" i="2"/>
  <c r="H14" i="1"/>
  <c r="J16" i="2"/>
  <c r="I21" i="2"/>
  <c r="B16" i="2"/>
  <c r="G24" i="2"/>
  <c r="E23" i="2"/>
  <c r="J25" i="1"/>
  <c r="M24" i="1"/>
  <c r="M9" i="1"/>
  <c r="N9" i="1"/>
  <c r="N8" i="1"/>
  <c r="M8" i="1"/>
  <c r="I25" i="1"/>
  <c r="I20" i="2"/>
  <c r="H20" i="2"/>
  <c r="K23" i="1"/>
  <c r="M23" i="1" s="1"/>
  <c r="M4" i="1" s="1"/>
  <c r="H6" i="1"/>
  <c r="H19" i="1" s="1"/>
  <c r="F6" i="1"/>
  <c r="F19" i="1" s="1"/>
  <c r="E1" i="4"/>
  <c r="G19" i="8" l="1"/>
  <c r="E19" i="8"/>
  <c r="E20" i="8" s="1"/>
  <c r="I36" i="8"/>
  <c r="I42" i="8" s="1"/>
  <c r="I31" i="8"/>
  <c r="M19" i="8"/>
  <c r="M13" i="8"/>
  <c r="F19" i="8"/>
  <c r="F13" i="8"/>
  <c r="J19" i="8"/>
  <c r="J13" i="8"/>
  <c r="D19" i="8"/>
  <c r="D13" i="8"/>
  <c r="E30" i="8"/>
  <c r="K19" i="8"/>
  <c r="K13" i="8"/>
  <c r="C19" i="8"/>
  <c r="C13" i="8"/>
  <c r="G20" i="8"/>
  <c r="G30" i="8"/>
  <c r="I34" i="8"/>
  <c r="H31" i="8"/>
  <c r="H36" i="8"/>
  <c r="L19" i="8"/>
  <c r="L13" i="8"/>
  <c r="H34" i="8"/>
  <c r="D14" i="1"/>
  <c r="H25" i="1" s="1"/>
  <c r="N25" i="1" s="1"/>
  <c r="N14" i="1" s="1"/>
  <c r="N6" i="1"/>
  <c r="N10" i="1" s="1"/>
  <c r="N12" i="1" s="1"/>
  <c r="N13" i="1" s="1"/>
  <c r="N5" i="1"/>
  <c r="M6" i="1"/>
  <c r="M10" i="1" s="1"/>
  <c r="M12" i="1" s="1"/>
  <c r="M13" i="1" s="1"/>
  <c r="M15" i="1" s="1"/>
  <c r="I48" i="8" l="1"/>
  <c r="I46" i="8"/>
  <c r="H37" i="8"/>
  <c r="H42" i="8"/>
  <c r="I43" i="8" s="1"/>
  <c r="J20" i="8"/>
  <c r="J30" i="8"/>
  <c r="G31" i="8"/>
  <c r="G36" i="8"/>
  <c r="G34" i="8"/>
  <c r="D20" i="8"/>
  <c r="D30" i="8"/>
  <c r="C20" i="8"/>
  <c r="C30" i="8"/>
  <c r="E36" i="8"/>
  <c r="E31" i="8"/>
  <c r="E34" i="8"/>
  <c r="L20" i="8"/>
  <c r="L30" i="8"/>
  <c r="F20" i="8"/>
  <c r="F30" i="8"/>
  <c r="M20" i="8"/>
  <c r="M30" i="8"/>
  <c r="K20" i="8"/>
  <c r="K30" i="8"/>
  <c r="I37" i="8"/>
  <c r="N15" i="1"/>
  <c r="M5" i="1"/>
  <c r="H46" i="8" l="1"/>
  <c r="H48" i="8"/>
  <c r="E37" i="8"/>
  <c r="E42" i="8"/>
  <c r="C36" i="8"/>
  <c r="C31" i="8"/>
  <c r="C34" i="8"/>
  <c r="M31" i="8"/>
  <c r="M36" i="8"/>
  <c r="M34" i="8"/>
  <c r="F31" i="8"/>
  <c r="F36" i="8"/>
  <c r="F34" i="8"/>
  <c r="L36" i="8"/>
  <c r="L31" i="8"/>
  <c r="L34" i="8"/>
  <c r="K36" i="8"/>
  <c r="K31" i="8"/>
  <c r="K34" i="8"/>
  <c r="D31" i="8"/>
  <c r="D36" i="8"/>
  <c r="D34" i="8"/>
  <c r="G37" i="8"/>
  <c r="G42" i="8"/>
  <c r="J31" i="8"/>
  <c r="J36" i="8"/>
  <c r="J34" i="8"/>
  <c r="E46" i="8" l="1"/>
  <c r="E48" i="8" s="1"/>
  <c r="G46" i="8"/>
  <c r="G48" i="8" s="1"/>
  <c r="H43" i="8"/>
  <c r="F37" i="8"/>
  <c r="F42" i="8"/>
  <c r="J37" i="8"/>
  <c r="J42" i="8"/>
  <c r="M42" i="8"/>
  <c r="M37" i="8"/>
  <c r="K37" i="8"/>
  <c r="K42" i="8"/>
  <c r="C42" i="8"/>
  <c r="C37" i="8"/>
  <c r="L37" i="8"/>
  <c r="L42" i="8"/>
  <c r="D42" i="8"/>
  <c r="D37" i="8"/>
  <c r="M43" i="8" l="1"/>
  <c r="M46" i="8"/>
  <c r="M48" i="8"/>
  <c r="J48" i="8"/>
  <c r="J43" i="8"/>
  <c r="J46" i="8"/>
  <c r="F43" i="8"/>
  <c r="F46" i="8"/>
  <c r="F48" i="8"/>
  <c r="D43" i="8"/>
  <c r="D46" i="8"/>
  <c r="D48" i="8" s="1"/>
  <c r="L43" i="8"/>
  <c r="L46" i="8"/>
  <c r="L48" i="8"/>
  <c r="C46" i="8"/>
  <c r="C48" i="8"/>
  <c r="G43" i="8"/>
  <c r="K43" i="8"/>
  <c r="K48" i="8"/>
  <c r="K46" i="8"/>
  <c r="E43" i="8"/>
</calcChain>
</file>

<file path=xl/sharedStrings.xml><?xml version="1.0" encoding="utf-8"?>
<sst xmlns="http://schemas.openxmlformats.org/spreadsheetml/2006/main" count="304" uniqueCount="194">
  <si>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</si>
  <si>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</si>
  <si>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</si>
  <si>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</si>
  <si>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</si>
  <si>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</si>
  <si>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</si>
  <si>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</si>
  <si>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</si>
  <si>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</si>
  <si>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</si>
  <si>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</si>
  <si>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</si>
  <si>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</si>
  <si>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</si>
  <si>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</si>
  <si>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</si>
  <si>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</si>
  <si>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</si>
  <si>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</si>
  <si>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</si>
  <si>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</si>
  <si>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</si>
  <si>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</si>
  <si>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</si>
  <si>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</si>
  <si>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</si>
  <si>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</si>
  <si>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</si>
  <si>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</si>
  <si>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</si>
  <si>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</si>
  <si>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</si>
  <si>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</si>
  <si>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</si>
  <si>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</si>
  <si>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</si>
  <si>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</si>
  <si>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</si>
  <si>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</si>
  <si>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</si>
  <si>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</si>
  <si>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</si>
  <si>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</si>
  <si>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</si>
  <si>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</si>
  <si>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</si>
  <si>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</si>
  <si>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</si>
  <si>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</si>
  <si>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</si>
  <si>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</si>
  <si>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</si>
  <si>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</si>
  <si>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</si>
  <si>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</si>
  <si>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</si>
  <si>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</si>
  <si>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</si>
  <si>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</si>
  <si>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</si>
  <si>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</si>
  <si>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</si>
  <si>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</si>
  <si>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</si>
  <si>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</si>
  <si>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</si>
  <si>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</si>
  <si>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</si>
  <si>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</si>
  <si>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</si>
  <si>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</si>
  <si>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</si>
  <si>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</si>
  <si>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</si>
  <si>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</si>
  <si>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</si>
  <si>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</si>
  <si>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</si>
  <si>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</si>
  <si>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</si>
  <si>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</si>
  <si>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</si>
  <si>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</si>
  <si>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</si>
  <si>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</si>
  <si>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</si>
  <si>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</si>
  <si>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</si>
  <si>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</si>
  <si>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</si>
  <si>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</si>
  <si>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</si>
  <si>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Years</t>
  </si>
  <si>
    <t>LTM</t>
  </si>
  <si>
    <t xml:space="preserve">Income Statement </t>
  </si>
  <si>
    <t>#</t>
  </si>
  <si>
    <t>-</t>
  </si>
  <si>
    <t>COGS</t>
  </si>
  <si>
    <t xml:space="preserve">COGS % Sales </t>
  </si>
  <si>
    <t>Gross Profit</t>
  </si>
  <si>
    <t>Selling &amp; General Expenses</t>
  </si>
  <si>
    <t>S&amp;G Exp % Sales</t>
  </si>
  <si>
    <t>EBITDA</t>
  </si>
  <si>
    <t xml:space="preserve">EBITDA % Sales </t>
  </si>
  <si>
    <t xml:space="preserve">Interest % Sales </t>
  </si>
  <si>
    <t>Depreciation % Sales</t>
  </si>
  <si>
    <t>Gross Margin</t>
  </si>
  <si>
    <t>Earnings Before Tax</t>
  </si>
  <si>
    <t>EBT % Sales</t>
  </si>
  <si>
    <t>Effective Tax Rate</t>
  </si>
  <si>
    <t>Net Profit</t>
  </si>
  <si>
    <t>Net Margin</t>
  </si>
  <si>
    <t>No of equity Shares in Cr</t>
  </si>
  <si>
    <t>Earnings per Share</t>
  </si>
  <si>
    <t>Dividend per Share</t>
  </si>
  <si>
    <t>EPS Growth</t>
  </si>
  <si>
    <t>Dividend Payout Ratio</t>
  </si>
  <si>
    <t xml:space="preserve">Retained Earnings </t>
  </si>
  <si>
    <t>Balance Sheet</t>
  </si>
  <si>
    <t>Total Liabilities</t>
  </si>
  <si>
    <t>Fixed Assets Net Block</t>
  </si>
  <si>
    <t xml:space="preserve">Total Non Current Assets </t>
  </si>
  <si>
    <t>Total Current Assets</t>
  </si>
  <si>
    <t>Total Assets</t>
  </si>
  <si>
    <t>Check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</si>
  <si>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</si>
  <si>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</si>
  <si>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</si>
  <si>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</si>
  <si>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</si>
  <si>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</si>
  <si>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</si>
  <si>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</si>
  <si>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</si>
  <si>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</si>
  <si>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</si>
  <si>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</si>
  <si>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</si>
  <si>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</si>
  <si>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</si>
  <si>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</si>
  <si>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</si>
  <si>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</si>
  <si>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</si>
  <si>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</si>
  <si>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</si>
  <si>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</si>
  <si>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</si>
  <si>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</si>
  <si>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</si>
  <si>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</si>
  <si>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</si>
  <si>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</si>
  <si>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</si>
  <si>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Cashflow Statements</t>
  </si>
  <si>
    <t>Operating Activities</t>
  </si>
  <si>
    <t>Cash from Operating Activities</t>
  </si>
  <si>
    <t>Investing Activities</t>
  </si>
  <si>
    <t>Cash from Investing Activities</t>
  </si>
  <si>
    <t>Financing Activities</t>
  </si>
  <si>
    <t>Cash From Financing Activities</t>
  </si>
  <si>
    <t>Net Cashflow</t>
  </si>
  <si>
    <t>SalesGrowth</t>
  </si>
  <si>
    <t>EBITDA Growth</t>
  </si>
  <si>
    <t>EBIT Growth</t>
  </si>
  <si>
    <t>Net Profit Growth</t>
  </si>
  <si>
    <t>Dividend Growth</t>
  </si>
  <si>
    <t>EBITDA Margin</t>
  </si>
  <si>
    <t>EBIT Margin</t>
  </si>
  <si>
    <t>EBT Margin</t>
  </si>
  <si>
    <t>Net Profit Margin</t>
  </si>
  <si>
    <t>SalesExpenses%Sales</t>
  </si>
  <si>
    <t>Depreciation%Sales</t>
  </si>
  <si>
    <t>OperatingIncome%Sales</t>
  </si>
  <si>
    <t>Return on Capital Employed</t>
  </si>
  <si>
    <t>Retained Earnings%</t>
  </si>
  <si>
    <t>Return on Equity%</t>
  </si>
  <si>
    <t>Self Sustained Growth Rate</t>
  </si>
  <si>
    <t>Interest Coverage Ratio</t>
  </si>
  <si>
    <t>Debtor Turnover Ratio</t>
  </si>
  <si>
    <t>Creditor Turnover Ratio</t>
  </si>
  <si>
    <t>Fixed Asset Turnover</t>
  </si>
  <si>
    <t>Capital Turnover Ratio</t>
  </si>
  <si>
    <t>Payable Days</t>
  </si>
  <si>
    <t>Inventory Days</t>
  </si>
  <si>
    <t>Cash Conversion Cycle</t>
  </si>
  <si>
    <t>CFO/Sales</t>
  </si>
  <si>
    <t>CFO/Total Assets</t>
  </si>
  <si>
    <t>CFO/Total Debt</t>
  </si>
  <si>
    <r>
      <t>(</t>
    </r>
    <r>
      <rPr>
        <b/>
        <i/>
        <sz val="11"/>
        <color theme="1"/>
        <rFont val="Calibri"/>
        <family val="2"/>
        <scheme val="minor"/>
      </rPr>
      <t>in days)</t>
    </r>
  </si>
  <si>
    <t>Mean</t>
  </si>
  <si>
    <t>Median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</si>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</sst>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0;\(&quot;₹&quot;\ #,##0.00\);\-"/>
    <numFmt numFmtId="167" formatCode="&quot;₹&quot;\ #,##0.00"/>
    <numFmt numFmtId="173" formatCode="0.00&quot;x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DashDot">
        <color auto="1"/>
      </top>
      <bottom style="mediumDashDot">
        <color auto="1"/>
      </bottom>
      <diagonal/>
    </border>
    <border>
      <left/>
      <right/>
      <top style="mediumDashDotDot">
        <color rgb="FF0275D8"/>
      </top>
      <bottom/>
      <diagonal/>
    </border>
    <border>
      <left/>
      <right/>
      <top/>
      <bottom style="mediumDashDotDot">
        <color rgb="FF0275D8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64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0" fontId="10" fillId="6" borderId="0" xfId="0" applyFont="1" applyFill="1"/>
    <xf numFmtId="17" fontId="10" fillId="6" borderId="0" xfId="0" applyNumberFormat="1" applyFont="1" applyFill="1"/>
    <xf numFmtId="17" fontId="10" fillId="6" borderId="0" xfId="0" applyNumberFormat="1" applyFont="1" applyFill="1" applyAlignment="1">
      <alignment horizontal="right"/>
    </xf>
    <xf numFmtId="166" fontId="0" fillId="0" borderId="0" xfId="0" applyNumberFormat="1"/>
    <xf numFmtId="0" fontId="11" fillId="0" borderId="0" xfId="0" applyFont="1"/>
    <xf numFmtId="0" fontId="12" fillId="0" borderId="0" xfId="0" applyFont="1"/>
    <xf numFmtId="10" fontId="12" fillId="0" borderId="0" xfId="6" applyNumberFormat="1" applyFont="1"/>
    <xf numFmtId="0" fontId="13" fillId="0" borderId="0" xfId="0" applyFont="1" applyAlignment="1">
      <alignment horizontal="right"/>
    </xf>
    <xf numFmtId="167" fontId="0" fillId="0" borderId="0" xfId="0" applyNumberFormat="1"/>
    <xf numFmtId="0" fontId="1" fillId="7" borderId="0" xfId="0" applyFont="1" applyFill="1"/>
    <xf numFmtId="0" fontId="0" fillId="7" borderId="0" xfId="0" applyFill="1"/>
    <xf numFmtId="10" fontId="9" fillId="0" borderId="0" xfId="6" applyNumberFormat="1" applyFont="1"/>
    <xf numFmtId="166" fontId="1" fillId="0" borderId="0" xfId="0" applyNumberFormat="1" applyFont="1"/>
    <xf numFmtId="17" fontId="0" fillId="0" borderId="0" xfId="0" applyNumberFormat="1"/>
    <xf numFmtId="3" fontId="0" fillId="0" borderId="0" xfId="0" applyNumberFormat="1"/>
    <xf numFmtId="0" fontId="10" fillId="6" borderId="0" xfId="0" applyFont="1" applyFill="1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0" fontId="1" fillId="0" borderId="1" xfId="0" applyFont="1" applyBorder="1"/>
    <xf numFmtId="167" fontId="1" fillId="0" borderId="1" xfId="0" applyNumberFormat="1" applyFont="1" applyBorder="1"/>
    <xf numFmtId="43" fontId="1" fillId="0" borderId="1" xfId="1" applyFont="1" applyBorder="1"/>
    <xf numFmtId="166" fontId="1" fillId="0" borderId="1" xfId="0" applyNumberFormat="1" applyFont="1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2" xfId="0" applyBorder="1" applyAlignment="1">
      <alignment vertical="center"/>
    </xf>
    <xf numFmtId="0" fontId="0" fillId="0" borderId="2" xfId="0" applyBorder="1"/>
    <xf numFmtId="10" fontId="0" fillId="0" borderId="2" xfId="6" applyNumberFormat="1" applyFont="1" applyBorder="1"/>
    <xf numFmtId="0" fontId="0" fillId="0" borderId="0" xfId="0" applyBorder="1" applyAlignment="1">
      <alignment vertical="center"/>
    </xf>
    <xf numFmtId="10" fontId="0" fillId="0" borderId="0" xfId="6" applyNumberFormat="1" applyFont="1" applyBorder="1"/>
    <xf numFmtId="0" fontId="0" fillId="0" borderId="3" xfId="0" applyBorder="1" applyAlignment="1">
      <alignment vertical="center"/>
    </xf>
    <xf numFmtId="0" fontId="0" fillId="0" borderId="3" xfId="0" applyBorder="1"/>
    <xf numFmtId="10" fontId="0" fillId="0" borderId="3" xfId="6" applyNumberFormat="1" applyFont="1" applyBorder="1"/>
    <xf numFmtId="173" fontId="0" fillId="0" borderId="3" xfId="0" applyNumberFormat="1" applyBorder="1"/>
    <xf numFmtId="173" fontId="0" fillId="0" borderId="2" xfId="0" applyNumberFormat="1" applyBorder="1"/>
    <xf numFmtId="173" fontId="0" fillId="0" borderId="0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7" fontId="10" fillId="6" borderId="0" xfId="0" applyNumberFormat="1" applyFont="1" applyFill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TATA MOTORS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41729</v>
      </c>
      <c r="C3" s="12">
        <f>'Data Sheet'!C16</f>
        <v>42094</v>
      </c>
      <c r="D3" s="12">
        <f>'Data Sheet'!D16</f>
        <v>42460</v>
      </c>
      <c r="E3" s="12">
        <f>'Data Sheet'!E16</f>
        <v>42825</v>
      </c>
      <c r="F3" s="12">
        <f>'Data Sheet'!F16</f>
        <v>43190</v>
      </c>
      <c r="G3" s="12">
        <f>'Data Sheet'!G16</f>
        <v>43555</v>
      </c>
      <c r="H3" s="12">
        <f>'Data Sheet'!H16</f>
        <v>43921</v>
      </c>
      <c r="I3" s="12">
        <f>'Data Sheet'!I16</f>
        <v>44286</v>
      </c>
      <c r="J3" s="12">
        <f>'Data Sheet'!J16</f>
        <v>44651</v>
      </c>
      <c r="K3" s="12">
        <f>'Data Sheet'!K16</f>
        <v>45016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232833.66</v>
      </c>
      <c r="C4" s="1">
        <f>'Data Sheet'!C17</f>
        <v>263158.98</v>
      </c>
      <c r="D4" s="1">
        <f>'Data Sheet'!D17</f>
        <v>273045.59999999998</v>
      </c>
      <c r="E4" s="1">
        <f>'Data Sheet'!E17</f>
        <v>269692.51</v>
      </c>
      <c r="F4" s="1">
        <f>'Data Sheet'!F17</f>
        <v>291550.48</v>
      </c>
      <c r="G4" s="1">
        <f>'Data Sheet'!G17</f>
        <v>301938.40000000002</v>
      </c>
      <c r="H4" s="1">
        <f>'Data Sheet'!H17</f>
        <v>261067.97</v>
      </c>
      <c r="I4" s="1">
        <f>'Data Sheet'!I17</f>
        <v>249794.75</v>
      </c>
      <c r="J4" s="1">
        <f>'Data Sheet'!J17</f>
        <v>278453.62</v>
      </c>
      <c r="K4" s="1">
        <f>'Data Sheet'!K17</f>
        <v>345966.97</v>
      </c>
      <c r="L4" s="1">
        <f>SUM(Quarters!H4:K4)</f>
        <v>401785.26</v>
      </c>
      <c r="M4" s="1">
        <f>$K4+M23*K4</f>
        <v>429849.48204652854</v>
      </c>
      <c r="N4" s="1">
        <f>$K4+N23*L4</f>
        <v>359785.6313128224</v>
      </c>
    </row>
    <row r="5" spans="1:14" x14ac:dyDescent="0.3">
      <c r="A5" t="s">
        <v>7</v>
      </c>
      <c r="B5" s="6">
        <f>SUM('Data Sheet'!B18,'Data Sheet'!B20:B24, -1*'Data Sheet'!B19)</f>
        <v>197980.30000000005</v>
      </c>
      <c r="C5" s="6">
        <f>SUM('Data Sheet'!C18,'Data Sheet'!C20:C24, -1*'Data Sheet'!C19)</f>
        <v>223920.33000000002</v>
      </c>
      <c r="D5" s="6">
        <f>SUM('Data Sheet'!D18,'Data Sheet'!D20:D24, -1*'Data Sheet'!D19)</f>
        <v>234650.35</v>
      </c>
      <c r="E5" s="6">
        <f>SUM('Data Sheet'!E18,'Data Sheet'!E20:E24, -1*'Data Sheet'!E19)</f>
        <v>240103.81999999998</v>
      </c>
      <c r="F5" s="6">
        <f>SUM('Data Sheet'!F18,'Data Sheet'!F20:F24, -1*'Data Sheet'!F19)</f>
        <v>260092.80000000002</v>
      </c>
      <c r="G5" s="6">
        <f>SUM('Data Sheet'!G18,'Data Sheet'!G20:G24, -1*'Data Sheet'!G19)</f>
        <v>277274.07</v>
      </c>
      <c r="H5" s="6">
        <f>SUM('Data Sheet'!H18,'Data Sheet'!H20:H24, -1*'Data Sheet'!H19)</f>
        <v>243080.90000000005</v>
      </c>
      <c r="I5" s="6">
        <f>SUM('Data Sheet'!I18,'Data Sheet'!I20:I24, -1*'Data Sheet'!I19)</f>
        <v>217507.32</v>
      </c>
      <c r="J5" s="6">
        <f>SUM('Data Sheet'!J18,'Data Sheet'!J20:J24, -1*'Data Sheet'!J19)</f>
        <v>253733.52999999997</v>
      </c>
      <c r="K5" s="6">
        <f>SUM('Data Sheet'!K18,'Data Sheet'!K20:K24, -1*'Data Sheet'!K19)</f>
        <v>314151.17000000004</v>
      </c>
      <c r="L5" s="6">
        <f>SUM(Quarters!H5:K5)</f>
        <v>350865.95999999996</v>
      </c>
      <c r="M5" s="6">
        <f>M4-M6</f>
        <v>375373.5295659129</v>
      </c>
      <c r="N5" s="6">
        <f>N4-N6</f>
        <v>326873.02304386121</v>
      </c>
    </row>
    <row r="6" spans="1:14" s="2" customFormat="1" x14ac:dyDescent="0.3">
      <c r="A6" s="2" t="s">
        <v>8</v>
      </c>
      <c r="B6" s="1">
        <f>B4-B5</f>
        <v>34853.359999999957</v>
      </c>
      <c r="C6" s="1">
        <f t="shared" ref="C6:K6" si="0">C4-C5</f>
        <v>39238.649999999965</v>
      </c>
      <c r="D6" s="1">
        <f t="shared" si="0"/>
        <v>38395.249999999971</v>
      </c>
      <c r="E6" s="1">
        <f t="shared" si="0"/>
        <v>29588.690000000031</v>
      </c>
      <c r="F6" s="1">
        <f t="shared" si="0"/>
        <v>31457.679999999964</v>
      </c>
      <c r="G6" s="1">
        <f t="shared" si="0"/>
        <v>24664.330000000016</v>
      </c>
      <c r="H6" s="1">
        <f t="shared" si="0"/>
        <v>17987.069999999949</v>
      </c>
      <c r="I6" s="1">
        <f t="shared" si="0"/>
        <v>32287.429999999993</v>
      </c>
      <c r="J6" s="1">
        <f t="shared" si="0"/>
        <v>24720.090000000026</v>
      </c>
      <c r="K6" s="1">
        <f t="shared" si="0"/>
        <v>31815.79999999993</v>
      </c>
      <c r="L6" s="1">
        <f>SUM(Quarters!H6:K6)</f>
        <v>50919.3</v>
      </c>
      <c r="M6" s="1">
        <f>M4*M24</f>
        <v>54475.952480615648</v>
      </c>
      <c r="N6" s="1">
        <f>N4*N24</f>
        <v>32912.608268961179</v>
      </c>
    </row>
    <row r="7" spans="1:14" x14ac:dyDescent="0.3">
      <c r="A7" t="s">
        <v>9</v>
      </c>
      <c r="B7" s="6">
        <f>'Data Sheet'!B25</f>
        <v>-156.79</v>
      </c>
      <c r="C7" s="6">
        <f>'Data Sheet'!C25</f>
        <v>714.03</v>
      </c>
      <c r="D7" s="6">
        <f>'Data Sheet'!D25</f>
        <v>-2669.62</v>
      </c>
      <c r="E7" s="6">
        <f>'Data Sheet'!E25</f>
        <v>1869.1</v>
      </c>
      <c r="F7" s="6">
        <f>'Data Sheet'!F25</f>
        <v>5932.73</v>
      </c>
      <c r="G7" s="6">
        <f>'Data Sheet'!G25</f>
        <v>-26686.25</v>
      </c>
      <c r="H7" s="6">
        <f>'Data Sheet'!H25</f>
        <v>101.71</v>
      </c>
      <c r="I7" s="6">
        <f>'Data Sheet'!I25</f>
        <v>-11117.83</v>
      </c>
      <c r="J7" s="6">
        <f>'Data Sheet'!J25</f>
        <v>2424.0500000000002</v>
      </c>
      <c r="K7" s="6">
        <f>'Data Sheet'!K25</f>
        <v>6327.59</v>
      </c>
      <c r="L7" s="6">
        <f>SUM(Quarters!H7:K7)</f>
        <v>4682.2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11078.16</v>
      </c>
      <c r="C8" s="6">
        <f>'Data Sheet'!C26</f>
        <v>13388.63</v>
      </c>
      <c r="D8" s="6">
        <f>'Data Sheet'!D26</f>
        <v>16710.78</v>
      </c>
      <c r="E8" s="6">
        <f>'Data Sheet'!E26</f>
        <v>17904.990000000002</v>
      </c>
      <c r="F8" s="6">
        <f>'Data Sheet'!F26</f>
        <v>21553.59</v>
      </c>
      <c r="G8" s="6">
        <f>'Data Sheet'!G26</f>
        <v>23590.63</v>
      </c>
      <c r="H8" s="6">
        <f>'Data Sheet'!H26</f>
        <v>21425.43</v>
      </c>
      <c r="I8" s="6">
        <f>'Data Sheet'!I26</f>
        <v>23546.71</v>
      </c>
      <c r="J8" s="6">
        <f>'Data Sheet'!J26</f>
        <v>24835.69</v>
      </c>
      <c r="K8" s="6">
        <f>'Data Sheet'!K26</f>
        <v>24860.36</v>
      </c>
      <c r="L8" s="6">
        <f>SUM(Quarters!H8:K8)</f>
        <v>26391.58</v>
      </c>
      <c r="M8" s="6">
        <f>+$L8</f>
        <v>26391.58</v>
      </c>
      <c r="N8" s="6">
        <f>+$L8</f>
        <v>26391.58</v>
      </c>
    </row>
    <row r="9" spans="1:14" x14ac:dyDescent="0.3">
      <c r="A9" t="s">
        <v>11</v>
      </c>
      <c r="B9" s="6">
        <f>'Data Sheet'!B27</f>
        <v>4749.4399999999996</v>
      </c>
      <c r="C9" s="6">
        <f>'Data Sheet'!C27</f>
        <v>4861.49</v>
      </c>
      <c r="D9" s="6">
        <f>'Data Sheet'!D27</f>
        <v>4889.08</v>
      </c>
      <c r="E9" s="6">
        <f>'Data Sheet'!E27</f>
        <v>4238.01</v>
      </c>
      <c r="F9" s="6">
        <f>'Data Sheet'!F27</f>
        <v>4681.79</v>
      </c>
      <c r="G9" s="6">
        <f>'Data Sheet'!G27</f>
        <v>5758.6</v>
      </c>
      <c r="H9" s="6">
        <f>'Data Sheet'!H27</f>
        <v>7243.33</v>
      </c>
      <c r="I9" s="6">
        <f>'Data Sheet'!I27</f>
        <v>8097.17</v>
      </c>
      <c r="J9" s="6">
        <f>'Data Sheet'!J27</f>
        <v>9311.86</v>
      </c>
      <c r="K9" s="6">
        <f>'Data Sheet'!K27</f>
        <v>10225.48</v>
      </c>
      <c r="L9" s="6">
        <f>SUM(Quarters!H9:K9)</f>
        <v>10584.58</v>
      </c>
      <c r="M9" s="6">
        <f>+$L9</f>
        <v>10584.58</v>
      </c>
      <c r="N9" s="6">
        <f>+$L9</f>
        <v>10584.58</v>
      </c>
    </row>
    <row r="10" spans="1:14" x14ac:dyDescent="0.3">
      <c r="A10" t="s">
        <v>12</v>
      </c>
      <c r="B10" s="6">
        <f>'Data Sheet'!B28</f>
        <v>18868.97</v>
      </c>
      <c r="C10" s="6">
        <f>'Data Sheet'!C28</f>
        <v>21702.560000000001</v>
      </c>
      <c r="D10" s="6">
        <f>'Data Sheet'!D28</f>
        <v>14125.77</v>
      </c>
      <c r="E10" s="6">
        <f>'Data Sheet'!E28</f>
        <v>9314.7900000000009</v>
      </c>
      <c r="F10" s="6">
        <f>'Data Sheet'!F28</f>
        <v>11155.03</v>
      </c>
      <c r="G10" s="6">
        <f>'Data Sheet'!G28</f>
        <v>-31371.15</v>
      </c>
      <c r="H10" s="6">
        <f>'Data Sheet'!H28</f>
        <v>-10579.98</v>
      </c>
      <c r="I10" s="6">
        <f>'Data Sheet'!I28</f>
        <v>-10474.280000000001</v>
      </c>
      <c r="J10" s="6">
        <f>'Data Sheet'!J28</f>
        <v>-7003.41</v>
      </c>
      <c r="K10" s="6">
        <f>'Data Sheet'!K28</f>
        <v>3057.55</v>
      </c>
      <c r="L10" s="6">
        <f>SUM(Quarters!H10:K10)</f>
        <v>18625.34</v>
      </c>
      <c r="M10" s="6">
        <f>M6+M7-SUM(M8:M9)</f>
        <v>17499.792480615644</v>
      </c>
      <c r="N10" s="6">
        <f>N6+N7-SUM(N8:N9)</f>
        <v>-4063.5517310388241</v>
      </c>
    </row>
    <row r="11" spans="1:14" x14ac:dyDescent="0.3">
      <c r="A11" t="s">
        <v>13</v>
      </c>
      <c r="B11" s="6">
        <f>'Data Sheet'!B29</f>
        <v>4764.79</v>
      </c>
      <c r="C11" s="6">
        <f>'Data Sheet'!C29</f>
        <v>7642.91</v>
      </c>
      <c r="D11" s="6">
        <f>'Data Sheet'!D29</f>
        <v>3025.05</v>
      </c>
      <c r="E11" s="6">
        <f>'Data Sheet'!E29</f>
        <v>3251.23</v>
      </c>
      <c r="F11" s="6">
        <f>'Data Sheet'!F29</f>
        <v>4341.93</v>
      </c>
      <c r="G11" s="6">
        <f>'Data Sheet'!G29</f>
        <v>-2437.4499999999998</v>
      </c>
      <c r="H11" s="6">
        <f>'Data Sheet'!H29</f>
        <v>395.25</v>
      </c>
      <c r="I11" s="6">
        <f>'Data Sheet'!I29</f>
        <v>2541.86</v>
      </c>
      <c r="J11" s="6">
        <f>'Data Sheet'!J29</f>
        <v>4231.29</v>
      </c>
      <c r="K11" s="6">
        <f>'Data Sheet'!K29</f>
        <v>704.06</v>
      </c>
      <c r="L11" s="6">
        <f>SUM(Quarters!H11:K11)</f>
        <v>3408.03</v>
      </c>
      <c r="M11" s="7">
        <f>IF($L10&gt;0,$L11/$L10,0)</f>
        <v>0.1829781362380499</v>
      </c>
      <c r="N11" s="7">
        <f>IF($L10&gt;0,$L11/$L10,0)</f>
        <v>0.1829781362380499</v>
      </c>
    </row>
    <row r="12" spans="1:14" s="2" customFormat="1" x14ac:dyDescent="0.3">
      <c r="A12" s="2" t="s">
        <v>14</v>
      </c>
      <c r="B12" s="1">
        <f>'Data Sheet'!B30</f>
        <v>13991.02</v>
      </c>
      <c r="C12" s="1">
        <f>'Data Sheet'!C30</f>
        <v>13986.29</v>
      </c>
      <c r="D12" s="1">
        <f>'Data Sheet'!D30</f>
        <v>11579.31</v>
      </c>
      <c r="E12" s="1">
        <f>'Data Sheet'!E30</f>
        <v>7454.36</v>
      </c>
      <c r="F12" s="1">
        <f>'Data Sheet'!F30</f>
        <v>8988.91</v>
      </c>
      <c r="G12" s="1">
        <f>'Data Sheet'!G30</f>
        <v>-28826.23</v>
      </c>
      <c r="H12" s="1">
        <f>'Data Sheet'!H30</f>
        <v>-12070.85</v>
      </c>
      <c r="I12" s="1">
        <f>'Data Sheet'!I30</f>
        <v>-13451.39</v>
      </c>
      <c r="J12" s="1">
        <f>'Data Sheet'!J30</f>
        <v>-11441.47</v>
      </c>
      <c r="K12" s="1">
        <f>'Data Sheet'!K30</f>
        <v>2414.29</v>
      </c>
      <c r="L12" s="1">
        <f>SUM(Quarters!H12:K12)</f>
        <v>15332.3</v>
      </c>
      <c r="M12" s="1">
        <f>M10-M11*M10</f>
        <v>14297.713067959954</v>
      </c>
      <c r="N12" s="1">
        <f>N10-N11*N10</f>
        <v>-3320.0106087864388</v>
      </c>
    </row>
    <row r="13" spans="1:14" x14ac:dyDescent="0.3">
      <c r="A13" t="s">
        <v>57</v>
      </c>
      <c r="B13" s="6">
        <f>IF('Data Sheet'!B93&gt;0,B12/'Data Sheet'!B93,0)</f>
        <v>48.455427027775855</v>
      </c>
      <c r="C13" s="6">
        <f>IF('Data Sheet'!C93&gt;0,C12/'Data Sheet'!C93,0)</f>
        <v>48.439045508069547</v>
      </c>
      <c r="D13" s="6">
        <f>IF('Data Sheet'!D93&gt;0,D12/'Data Sheet'!D93,0)</f>
        <v>40.105673316708227</v>
      </c>
      <c r="E13" s="6">
        <f>IF('Data Sheet'!E93&gt;0,E12/'Data Sheet'!E93,0)</f>
        <v>25.817753610639695</v>
      </c>
      <c r="F13" s="6">
        <f>IF('Data Sheet'!F93&gt;0,F12/'Data Sheet'!F93,0)</f>
        <v>31.132580611644094</v>
      </c>
      <c r="G13" s="6">
        <f>IF('Data Sheet'!G93&gt;0,G12/'Data Sheet'!G93,0)</f>
        <v>-99.838014754268684</v>
      </c>
      <c r="H13" s="6">
        <f>IF('Data Sheet'!H93&gt;0,H12/'Data Sheet'!H93,0)</f>
        <v>-39.076885723535128</v>
      </c>
      <c r="I13" s="6">
        <f>IF('Data Sheet'!I93&gt;0,I12/'Data Sheet'!I93,0)</f>
        <v>-40.512574164985097</v>
      </c>
      <c r="J13" s="6">
        <f>IF('Data Sheet'!J93&gt;0,J12/'Data Sheet'!J93,0)</f>
        <v>-34.454994428885477</v>
      </c>
      <c r="K13" s="6">
        <f>IF('Data Sheet'!K93&gt;0,K12/'Data Sheet'!K93,0)</f>
        <v>7.2691114924878812</v>
      </c>
      <c r="L13" s="6">
        <f>IF('Data Sheet'!$B6&gt;0,'Profit &amp; Loss'!L12/'Data Sheet'!$B6,0)</f>
        <v>41.844416470298654</v>
      </c>
      <c r="M13" s="6">
        <f>IF('Data Sheet'!$B6&gt;0,'Profit &amp; Loss'!M12/'Data Sheet'!$B6,0)</f>
        <v>39.020855330808025</v>
      </c>
      <c r="N13" s="6">
        <f>IF('Data Sheet'!$B6&gt;0,'Profit &amp; Loss'!N12/'Data Sheet'!$B6,0)</f>
        <v>-9.0608654017903074</v>
      </c>
    </row>
    <row r="14" spans="1:14" x14ac:dyDescent="0.3">
      <c r="A14" t="s">
        <v>16</v>
      </c>
      <c r="B14" s="6">
        <f>IF(B15&gt;0,B15/B13,"")</f>
        <v>8.1398519050076406</v>
      </c>
      <c r="C14" s="6">
        <f t="shared" ref="C14:K14" si="1">IF(C15&gt;0,C15/C13,"")</f>
        <v>11.238247869878288</v>
      </c>
      <c r="D14" s="6">
        <f t="shared" si="1"/>
        <v>9.6395339618681959</v>
      </c>
      <c r="E14" s="6">
        <f t="shared" si="1"/>
        <v>18.043785180753279</v>
      </c>
      <c r="F14" s="6">
        <f t="shared" si="1"/>
        <v>10.4986478338308</v>
      </c>
      <c r="G14" s="6">
        <f t="shared" si="1"/>
        <v>-1.7453271725092045</v>
      </c>
      <c r="H14" s="6">
        <f t="shared" si="1"/>
        <v>-1.8182103994333454</v>
      </c>
      <c r="I14" s="6">
        <f t="shared" si="1"/>
        <v>-7.4495389695786081</v>
      </c>
      <c r="J14" s="6">
        <f t="shared" si="1"/>
        <v>-12.588886087189845</v>
      </c>
      <c r="K14" s="6">
        <f t="shared" si="1"/>
        <v>57.88878055246056</v>
      </c>
      <c r="L14" s="6">
        <f>IF(L13&gt;0,L15/L13,0)</f>
        <v>17.318917579228167</v>
      </c>
      <c r="M14" s="6">
        <f>M25</f>
        <v>37.603849065844365</v>
      </c>
      <c r="N14" s="6">
        <f>N25</f>
        <v>17.318917579228167</v>
      </c>
    </row>
    <row r="15" spans="1:14" s="2" customFormat="1" x14ac:dyDescent="0.3">
      <c r="A15" s="2" t="s">
        <v>58</v>
      </c>
      <c r="B15" s="1">
        <f>'Data Sheet'!B90</f>
        <v>394.42</v>
      </c>
      <c r="C15" s="1">
        <f>'Data Sheet'!C90</f>
        <v>544.37</v>
      </c>
      <c r="D15" s="1">
        <f>'Data Sheet'!D90</f>
        <v>386.6</v>
      </c>
      <c r="E15" s="1">
        <f>'Data Sheet'!E90</f>
        <v>465.85</v>
      </c>
      <c r="F15" s="1">
        <f>'Data Sheet'!F90</f>
        <v>326.85000000000002</v>
      </c>
      <c r="G15" s="1">
        <f>'Data Sheet'!G90</f>
        <v>174.25</v>
      </c>
      <c r="H15" s="1">
        <f>'Data Sheet'!H90</f>
        <v>71.05</v>
      </c>
      <c r="I15" s="1">
        <f>'Data Sheet'!I90</f>
        <v>301.8</v>
      </c>
      <c r="J15" s="1">
        <f>'Data Sheet'!J90</f>
        <v>433.75</v>
      </c>
      <c r="K15" s="1">
        <f>'Data Sheet'!K90</f>
        <v>420.8</v>
      </c>
      <c r="L15" s="1">
        <f>'Data Sheet'!B8</f>
        <v>724.7</v>
      </c>
      <c r="M15" s="8">
        <f>M13*M14</f>
        <v>1467.3343542798534</v>
      </c>
      <c r="N15" s="9">
        <f>N13*N14</f>
        <v>-156.92438109008643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4.601380028046561E-2</v>
      </c>
      <c r="C18" s="5">
        <f>IF('Data Sheet'!C30&gt;0, 'Data Sheet'!C31/'Data Sheet'!C30, 0)</f>
        <v>0</v>
      </c>
      <c r="D18" s="5">
        <f>IF('Data Sheet'!D30&gt;0, 'Data Sheet'!D31/'Data Sheet'!D30, 0)</f>
        <v>5.8656344808110331E-3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0.31728582730326516</v>
      </c>
    </row>
    <row r="19" spans="1:14" x14ac:dyDescent="0.3">
      <c r="A19" t="s">
        <v>18</v>
      </c>
      <c r="B19" s="5">
        <f>IF(B6&gt;0,B6/B4,0)</f>
        <v>0.14969210207836769</v>
      </c>
      <c r="C19" s="5">
        <f t="shared" ref="C19:K19" si="2">IF(C6&gt;0,C6/C4,0)</f>
        <v>0.14910625508580391</v>
      </c>
      <c r="D19" s="5">
        <f t="shared" si="2"/>
        <v>0.14061845347443788</v>
      </c>
      <c r="E19" s="5">
        <f t="shared" si="2"/>
        <v>0.10971268723777323</v>
      </c>
      <c r="F19" s="5">
        <f t="shared" si="2"/>
        <v>0.10789788444182964</v>
      </c>
      <c r="G19" s="5">
        <f t="shared" si="2"/>
        <v>8.1686628795807403E-2</v>
      </c>
      <c r="H19" s="5">
        <f t="shared" si="2"/>
        <v>6.8898034485042142E-2</v>
      </c>
      <c r="I19" s="5">
        <f t="shared" si="2"/>
        <v>0.12925583904385499</v>
      </c>
      <c r="J19" s="5">
        <f t="shared" si="2"/>
        <v>8.8776328352276501E-2</v>
      </c>
      <c r="K19" s="5">
        <f t="shared" si="2"/>
        <v>9.1961958102531965E-2</v>
      </c>
      <c r="L19" s="5">
        <f>IF(L6&gt;0,L6/L4,0)</f>
        <v>0.12673262329235274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4.4984562710776999E-2</v>
      </c>
      <c r="I23" s="5">
        <f>IF(D4=0,"",POWER($K4/D4,1/7)-1)</f>
        <v>3.439315148799249E-2</v>
      </c>
      <c r="J23" s="5">
        <f>IF(F4=0,"",POWER($K4/F4,1/5)-1)</f>
        <v>3.4818479082157072E-2</v>
      </c>
      <c r="K23" s="5">
        <f>IF(H4=0,"",POWER($K4/H4, 1/3)-1)</f>
        <v>9.8399555801061966E-2</v>
      </c>
      <c r="L23" s="5">
        <f>IF(ISERROR(MAX(IF(J4=0,"",(K4-J4)/J4),IF(K4=0,"",(L4-K4)/K4))),"",MAX(IF(J4=0,"",(K4-J4)/J4),IF(K4=0,"",(L4-K4)/K4)))</f>
        <v>0.24245815155859701</v>
      </c>
      <c r="M23" s="16">
        <f>MAX(K23:L23)</f>
        <v>0.24245815155859701</v>
      </c>
      <c r="N23" s="16">
        <f>MIN(H23:L23)</f>
        <v>3.439315148799249E-2</v>
      </c>
    </row>
    <row r="24" spans="1:14" x14ac:dyDescent="0.3">
      <c r="G24" t="s">
        <v>18</v>
      </c>
      <c r="H24" s="5">
        <f>IF(SUM(B4:$K$4)=0,"",SUMPRODUCT(B19:$K$19,B4:$K$4)/SUM(B4:$K$4))</f>
        <v>0.11021066882769051</v>
      </c>
      <c r="I24" s="5">
        <f>IF(SUM(E4:$K$4)=0,"",SUMPRODUCT(E19:$K$19,E4:$K$4)/SUM(E4:$K$4))</f>
        <v>9.6334496175989451E-2</v>
      </c>
      <c r="J24" s="5">
        <f>IF(SUM(G4:$K$4)=0,"",SUMPRODUCT(G19:$K$19,G4:$K$4)/SUM(G4:$K$4))</f>
        <v>9.1478384361449644E-2</v>
      </c>
      <c r="K24" s="5">
        <f>IF(SUM(I4:$K$4)=0, "", SUMPRODUCT(I19:$K$19,I4:$K$4)/SUM(I4:$K$4))</f>
        <v>0.10160347906958479</v>
      </c>
      <c r="L24" s="5">
        <f>L19</f>
        <v>0.12673262329235274</v>
      </c>
      <c r="M24" s="16">
        <f>MAX(K24:L24)</f>
        <v>0.12673262329235274</v>
      </c>
      <c r="N24" s="16">
        <f>MIN(H24:L24)</f>
        <v>9.1478384361449644E-2</v>
      </c>
    </row>
    <row r="25" spans="1:14" x14ac:dyDescent="0.3">
      <c r="G25" t="s">
        <v>23</v>
      </c>
      <c r="H25" s="6">
        <f>IF(ISERROR(AVERAGEIF(B14:$L14,"&gt;0")),"",AVERAGEIF(B14:$L14,"&gt;0"))</f>
        <v>18.966823554718133</v>
      </c>
      <c r="I25" s="6">
        <f>IF(ISERROR(AVERAGEIF(E14:$L14,"&gt;0")),"",AVERAGEIF(E14:$L14,"&gt;0"))</f>
        <v>25.937532786568202</v>
      </c>
      <c r="J25" s="6">
        <f>IF(ISERROR(AVERAGEIF(G14:$L14,"&gt;0")),"",AVERAGEIF(G14:$L14,"&gt;0"))</f>
        <v>37.603849065844365</v>
      </c>
      <c r="K25" s="6">
        <f>IF(ISERROR(AVERAGEIF(I14:$L14,"&gt;0")),"",AVERAGEIF(I14:$L14,"&gt;0"))</f>
        <v>37.603849065844365</v>
      </c>
      <c r="L25" s="6">
        <f>L14</f>
        <v>17.318917579228167</v>
      </c>
      <c r="M25" s="1">
        <f>MAX(K25:L25)</f>
        <v>37.603849065844365</v>
      </c>
      <c r="N25" s="1">
        <f>MIN(H25:L25)</f>
        <v>17.318917579228167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76" activePane="bottomRight" state="frozen"/>
      <selection activeCell="C4" sqref="C4"/>
      <selection pane="topRight" activeCell="C4" sqref="C4"/>
      <selection pane="bottomLeft" activeCell="C4" sqref="C4"/>
      <selection pane="bottomRight" activeCell="A82" sqref="A82:A85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41" t="str">
        <f>IF(B2&lt;&gt;B3, "A NEW VERSION OF THE WORKSHEET IS AVAILABLE", "")</f>
        <v/>
      </c>
      <c r="F1" s="41"/>
      <c r="G1" s="41"/>
      <c r="H1" s="41"/>
      <c r="I1" s="41"/>
      <c r="J1" s="41"/>
      <c r="K1" s="41"/>
    </row>
    <row r="2" spans="1:11" x14ac:dyDescent="0.3">
      <c r="A2" s="1" t="s">
        <v>61</v>
      </c>
      <c r="B2" s="4">
        <v>2.1</v>
      </c>
      <c r="E2" s="42" t="s">
        <v>36</v>
      </c>
      <c r="F2" s="42"/>
      <c r="G2" s="42"/>
      <c r="H2" s="42"/>
      <c r="I2" s="42"/>
      <c r="J2" s="42"/>
      <c r="K2" s="42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366.41208776045261</v>
      </c>
    </row>
    <row r="7" spans="1:11" x14ac:dyDescent="0.3">
      <c r="A7" s="4" t="s">
        <v>31</v>
      </c>
      <c r="B7">
        <v>2</v>
      </c>
    </row>
    <row r="8" spans="1:11" x14ac:dyDescent="0.3">
      <c r="A8" s="4" t="s">
        <v>43</v>
      </c>
      <c r="B8">
        <v>724.7</v>
      </c>
    </row>
    <row r="9" spans="1:11" x14ac:dyDescent="0.3">
      <c r="A9" s="4" t="s">
        <v>79</v>
      </c>
      <c r="B9">
        <v>265538.84000000003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41729</v>
      </c>
      <c r="C16" s="12">
        <v>42094</v>
      </c>
      <c r="D16" s="12">
        <v>42460</v>
      </c>
      <c r="E16" s="12">
        <v>42825</v>
      </c>
      <c r="F16" s="12">
        <v>43190</v>
      </c>
      <c r="G16" s="12">
        <v>43555</v>
      </c>
      <c r="H16" s="12">
        <v>43921</v>
      </c>
      <c r="I16" s="12">
        <v>44286</v>
      </c>
      <c r="J16" s="12">
        <v>44651</v>
      </c>
      <c r="K16" s="12">
        <v>45016</v>
      </c>
    </row>
    <row r="17" spans="1:11" s="6" customFormat="1" x14ac:dyDescent="0.3">
      <c r="A17" s="6" t="s">
        <v>6</v>
      </c>
      <c r="B17">
        <v>232833.66</v>
      </c>
      <c r="C17">
        <v>263158.98</v>
      </c>
      <c r="D17">
        <v>273045.59999999998</v>
      </c>
      <c r="E17">
        <v>269692.51</v>
      </c>
      <c r="F17">
        <v>291550.48</v>
      </c>
      <c r="G17">
        <v>301938.40000000002</v>
      </c>
      <c r="H17">
        <v>261067.97</v>
      </c>
      <c r="I17">
        <v>249794.75</v>
      </c>
      <c r="J17">
        <v>278453.62</v>
      </c>
      <c r="K17">
        <v>345966.97</v>
      </c>
    </row>
    <row r="18" spans="1:11" s="6" customFormat="1" x14ac:dyDescent="0.3">
      <c r="A18" s="4" t="s">
        <v>80</v>
      </c>
      <c r="B18">
        <v>146426.99</v>
      </c>
      <c r="C18">
        <v>163250.35999999999</v>
      </c>
      <c r="D18">
        <v>166134.01</v>
      </c>
      <c r="E18">
        <v>173294.07999999999</v>
      </c>
      <c r="F18">
        <v>187896.58</v>
      </c>
      <c r="G18">
        <v>194267.91</v>
      </c>
      <c r="H18">
        <v>164899.82</v>
      </c>
      <c r="I18">
        <v>153607.35999999999</v>
      </c>
      <c r="J18">
        <v>179295.33</v>
      </c>
      <c r="K18">
        <v>231251.26</v>
      </c>
    </row>
    <row r="19" spans="1:11" s="6" customFormat="1" x14ac:dyDescent="0.3">
      <c r="A19" s="4" t="s">
        <v>81</v>
      </c>
      <c r="B19">
        <v>2840.58</v>
      </c>
      <c r="C19">
        <v>3330.35</v>
      </c>
      <c r="D19">
        <v>2750.99</v>
      </c>
      <c r="E19">
        <v>7399.92</v>
      </c>
      <c r="F19">
        <v>2046.58</v>
      </c>
      <c r="G19">
        <v>-2053.2800000000002</v>
      </c>
      <c r="H19">
        <v>-2231.19</v>
      </c>
      <c r="I19">
        <v>-4684.16</v>
      </c>
      <c r="J19">
        <v>-1590.49</v>
      </c>
      <c r="K19">
        <v>4781.62</v>
      </c>
    </row>
    <row r="20" spans="1:11" s="6" customFormat="1" x14ac:dyDescent="0.3">
      <c r="A20" s="4" t="s">
        <v>82</v>
      </c>
      <c r="B20">
        <v>1128.69</v>
      </c>
      <c r="C20">
        <v>1121.75</v>
      </c>
      <c r="D20">
        <v>1143.6300000000001</v>
      </c>
      <c r="E20">
        <v>1159.82</v>
      </c>
      <c r="F20">
        <v>1308.08</v>
      </c>
      <c r="G20">
        <v>1585.93</v>
      </c>
      <c r="H20">
        <v>1264.95</v>
      </c>
      <c r="I20">
        <v>1112.8699999999999</v>
      </c>
      <c r="J20">
        <v>2178.29</v>
      </c>
      <c r="K20">
        <v>2513.33</v>
      </c>
    </row>
    <row r="21" spans="1:11" s="6" customFormat="1" x14ac:dyDescent="0.3">
      <c r="A21" s="4" t="s">
        <v>83</v>
      </c>
      <c r="B21">
        <v>13806.04</v>
      </c>
      <c r="C21">
        <v>16173.17</v>
      </c>
      <c r="D21">
        <v>12101.53</v>
      </c>
      <c r="E21">
        <v>10067.370000000001</v>
      </c>
      <c r="F21">
        <v>10971.66</v>
      </c>
      <c r="G21">
        <v>11694.54</v>
      </c>
      <c r="H21">
        <v>11541.51</v>
      </c>
      <c r="I21">
        <v>8273.17</v>
      </c>
      <c r="J21">
        <v>9427.3799999999992</v>
      </c>
      <c r="K21">
        <v>11765.97</v>
      </c>
    </row>
    <row r="22" spans="1:11" s="6" customFormat="1" x14ac:dyDescent="0.3">
      <c r="A22" s="4" t="s">
        <v>84</v>
      </c>
      <c r="B22">
        <v>21609.919999999998</v>
      </c>
      <c r="C22">
        <v>25641.95</v>
      </c>
      <c r="D22">
        <v>28880.89</v>
      </c>
      <c r="E22">
        <v>28332.89</v>
      </c>
      <c r="F22">
        <v>30300.09</v>
      </c>
      <c r="G22">
        <v>33243.870000000003</v>
      </c>
      <c r="H22">
        <v>30438.6</v>
      </c>
      <c r="I22">
        <v>27648.48</v>
      </c>
      <c r="J22">
        <v>30808.52</v>
      </c>
      <c r="K22">
        <v>33654.699999999997</v>
      </c>
    </row>
    <row r="23" spans="1:11" s="6" customFormat="1" x14ac:dyDescent="0.3">
      <c r="A23" s="4" t="s">
        <v>85</v>
      </c>
      <c r="B23">
        <v>22357.79</v>
      </c>
      <c r="C23">
        <v>23603.01</v>
      </c>
      <c r="D23">
        <v>21991.9</v>
      </c>
      <c r="E23">
        <v>30039.38</v>
      </c>
      <c r="F23">
        <v>31004.58</v>
      </c>
      <c r="G23">
        <v>32719.8</v>
      </c>
      <c r="H23">
        <v>29248.32</v>
      </c>
      <c r="I23">
        <v>23015.79</v>
      </c>
      <c r="J23">
        <v>29205.4</v>
      </c>
      <c r="K23">
        <v>34839.19</v>
      </c>
    </row>
    <row r="24" spans="1:11" s="6" customFormat="1" x14ac:dyDescent="0.3">
      <c r="A24" s="4" t="s">
        <v>86</v>
      </c>
      <c r="B24">
        <v>-4508.55</v>
      </c>
      <c r="C24">
        <v>-2539.56</v>
      </c>
      <c r="D24">
        <v>7149.38</v>
      </c>
      <c r="E24">
        <v>4610.2</v>
      </c>
      <c r="F24">
        <v>658.39</v>
      </c>
      <c r="G24">
        <v>1708.74</v>
      </c>
      <c r="H24">
        <v>3456.51</v>
      </c>
      <c r="I24">
        <v>-834.51</v>
      </c>
      <c r="J24">
        <v>1228.1199999999999</v>
      </c>
      <c r="K24">
        <v>4908.34</v>
      </c>
    </row>
    <row r="25" spans="1:11" s="6" customFormat="1" x14ac:dyDescent="0.3">
      <c r="A25" s="6" t="s">
        <v>9</v>
      </c>
      <c r="B25">
        <v>-156.79</v>
      </c>
      <c r="C25">
        <v>714.03</v>
      </c>
      <c r="D25">
        <v>-2669.62</v>
      </c>
      <c r="E25">
        <v>1869.1</v>
      </c>
      <c r="F25">
        <v>5932.73</v>
      </c>
      <c r="G25">
        <v>-26686.25</v>
      </c>
      <c r="H25">
        <v>101.71</v>
      </c>
      <c r="I25">
        <v>-11117.83</v>
      </c>
      <c r="J25">
        <v>2424.0500000000002</v>
      </c>
      <c r="K25">
        <v>6327.59</v>
      </c>
    </row>
    <row r="26" spans="1:11" s="6" customFormat="1" x14ac:dyDescent="0.3">
      <c r="A26" s="6" t="s">
        <v>10</v>
      </c>
      <c r="B26">
        <v>11078.16</v>
      </c>
      <c r="C26">
        <v>13388.63</v>
      </c>
      <c r="D26">
        <v>16710.78</v>
      </c>
      <c r="E26">
        <v>17904.990000000002</v>
      </c>
      <c r="F26">
        <v>21553.59</v>
      </c>
      <c r="G26">
        <v>23590.63</v>
      </c>
      <c r="H26">
        <v>21425.43</v>
      </c>
      <c r="I26">
        <v>23546.71</v>
      </c>
      <c r="J26">
        <v>24835.69</v>
      </c>
      <c r="K26">
        <v>24860.36</v>
      </c>
    </row>
    <row r="27" spans="1:11" s="6" customFormat="1" x14ac:dyDescent="0.3">
      <c r="A27" s="6" t="s">
        <v>11</v>
      </c>
      <c r="B27">
        <v>4749.4399999999996</v>
      </c>
      <c r="C27">
        <v>4861.49</v>
      </c>
      <c r="D27">
        <v>4889.08</v>
      </c>
      <c r="E27">
        <v>4238.01</v>
      </c>
      <c r="F27">
        <v>4681.79</v>
      </c>
      <c r="G27">
        <v>5758.6</v>
      </c>
      <c r="H27">
        <v>7243.33</v>
      </c>
      <c r="I27">
        <v>8097.17</v>
      </c>
      <c r="J27">
        <v>9311.86</v>
      </c>
      <c r="K27">
        <v>10225.48</v>
      </c>
    </row>
    <row r="28" spans="1:11" s="6" customFormat="1" x14ac:dyDescent="0.3">
      <c r="A28" s="6" t="s">
        <v>12</v>
      </c>
      <c r="B28">
        <v>18868.97</v>
      </c>
      <c r="C28">
        <v>21702.560000000001</v>
      </c>
      <c r="D28">
        <v>14125.77</v>
      </c>
      <c r="E28">
        <v>9314.7900000000009</v>
      </c>
      <c r="F28">
        <v>11155.03</v>
      </c>
      <c r="G28">
        <v>-31371.15</v>
      </c>
      <c r="H28">
        <v>-10579.98</v>
      </c>
      <c r="I28">
        <v>-10474.280000000001</v>
      </c>
      <c r="J28">
        <v>-7003.41</v>
      </c>
      <c r="K28">
        <v>3057.55</v>
      </c>
    </row>
    <row r="29" spans="1:11" s="6" customFormat="1" x14ac:dyDescent="0.3">
      <c r="A29" s="6" t="s">
        <v>13</v>
      </c>
      <c r="B29">
        <v>4764.79</v>
      </c>
      <c r="C29">
        <v>7642.91</v>
      </c>
      <c r="D29">
        <v>3025.05</v>
      </c>
      <c r="E29">
        <v>3251.23</v>
      </c>
      <c r="F29">
        <v>4341.93</v>
      </c>
      <c r="G29">
        <v>-2437.4499999999998</v>
      </c>
      <c r="H29">
        <v>395.25</v>
      </c>
      <c r="I29">
        <v>2541.86</v>
      </c>
      <c r="J29">
        <v>4231.29</v>
      </c>
      <c r="K29">
        <v>704.06</v>
      </c>
    </row>
    <row r="30" spans="1:11" s="6" customFormat="1" x14ac:dyDescent="0.3">
      <c r="A30" s="6" t="s">
        <v>14</v>
      </c>
      <c r="B30">
        <v>13991.02</v>
      </c>
      <c r="C30">
        <v>13986.29</v>
      </c>
      <c r="D30">
        <v>11579.31</v>
      </c>
      <c r="E30">
        <v>7454.36</v>
      </c>
      <c r="F30">
        <v>8988.91</v>
      </c>
      <c r="G30">
        <v>-28826.23</v>
      </c>
      <c r="H30">
        <v>-12070.85</v>
      </c>
      <c r="I30">
        <v>-13451.39</v>
      </c>
      <c r="J30">
        <v>-11441.47</v>
      </c>
      <c r="K30">
        <v>2414.29</v>
      </c>
    </row>
    <row r="31" spans="1:11" s="6" customFormat="1" x14ac:dyDescent="0.3">
      <c r="A31" s="6" t="s">
        <v>70</v>
      </c>
      <c r="B31">
        <v>643.78</v>
      </c>
      <c r="D31">
        <v>67.92</v>
      </c>
      <c r="K31">
        <v>766.02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44377</v>
      </c>
      <c r="C41" s="12">
        <v>44469</v>
      </c>
      <c r="D41" s="12">
        <v>44561</v>
      </c>
      <c r="E41" s="12">
        <v>44651</v>
      </c>
      <c r="F41" s="12">
        <v>44742</v>
      </c>
      <c r="G41" s="12">
        <v>44834</v>
      </c>
      <c r="H41" s="12">
        <v>44926</v>
      </c>
      <c r="I41" s="12">
        <v>45016</v>
      </c>
      <c r="J41" s="12">
        <v>45107</v>
      </c>
      <c r="K41" s="12">
        <v>45199</v>
      </c>
    </row>
    <row r="42" spans="1:11" s="6" customFormat="1" x14ac:dyDescent="0.3">
      <c r="A42" s="6" t="s">
        <v>6</v>
      </c>
      <c r="B42">
        <v>66406.45</v>
      </c>
      <c r="C42">
        <v>61378.82</v>
      </c>
      <c r="D42">
        <v>72229.289999999994</v>
      </c>
      <c r="E42">
        <v>78439.06</v>
      </c>
      <c r="F42">
        <v>71934.66</v>
      </c>
      <c r="G42">
        <v>79611.37</v>
      </c>
      <c r="H42">
        <v>88488.59</v>
      </c>
      <c r="I42">
        <v>105932.35</v>
      </c>
      <c r="J42">
        <v>102236.08</v>
      </c>
      <c r="K42">
        <v>105128.24</v>
      </c>
    </row>
    <row r="43" spans="1:11" s="6" customFormat="1" x14ac:dyDescent="0.3">
      <c r="A43" s="6" t="s">
        <v>7</v>
      </c>
      <c r="B43">
        <v>61163.78</v>
      </c>
      <c r="C43">
        <v>57262.21</v>
      </c>
      <c r="D43">
        <v>65151.27</v>
      </c>
      <c r="E43">
        <v>70156.27</v>
      </c>
      <c r="F43">
        <v>69521.929999999993</v>
      </c>
      <c r="G43">
        <v>74039.06</v>
      </c>
      <c r="H43">
        <v>77668.350000000006</v>
      </c>
      <c r="I43">
        <v>92817.95</v>
      </c>
      <c r="J43">
        <v>89018.36</v>
      </c>
      <c r="K43">
        <v>91361.3</v>
      </c>
    </row>
    <row r="44" spans="1:11" s="6" customFormat="1" x14ac:dyDescent="0.3">
      <c r="A44" s="6" t="s">
        <v>9</v>
      </c>
      <c r="B44">
        <v>584.12</v>
      </c>
      <c r="C44">
        <v>862.46</v>
      </c>
      <c r="D44">
        <v>788.73</v>
      </c>
      <c r="E44">
        <v>188.74</v>
      </c>
      <c r="F44">
        <v>2380.98</v>
      </c>
      <c r="G44">
        <v>1351.14</v>
      </c>
      <c r="H44">
        <v>1129.98</v>
      </c>
      <c r="I44">
        <v>1361.61</v>
      </c>
      <c r="J44">
        <v>683.56</v>
      </c>
      <c r="K44">
        <v>1507.05</v>
      </c>
    </row>
    <row r="45" spans="1:11" s="6" customFormat="1" x14ac:dyDescent="0.3">
      <c r="A45" s="6" t="s">
        <v>10</v>
      </c>
      <c r="B45">
        <v>6202.13</v>
      </c>
      <c r="C45">
        <v>6123.32</v>
      </c>
      <c r="D45">
        <v>6078.13</v>
      </c>
      <c r="E45">
        <v>6432.11</v>
      </c>
      <c r="F45">
        <v>5841.04</v>
      </c>
      <c r="G45">
        <v>5897.34</v>
      </c>
      <c r="H45">
        <v>6071.78</v>
      </c>
      <c r="I45">
        <v>7050.2</v>
      </c>
      <c r="J45">
        <v>6633.18</v>
      </c>
      <c r="K45">
        <v>6636.42</v>
      </c>
    </row>
    <row r="46" spans="1:11" s="6" customFormat="1" x14ac:dyDescent="0.3">
      <c r="A46" s="6" t="s">
        <v>11</v>
      </c>
      <c r="B46">
        <v>2203.3000000000002</v>
      </c>
      <c r="C46">
        <v>2327.3000000000002</v>
      </c>
      <c r="D46">
        <v>2400.7399999999998</v>
      </c>
      <c r="E46">
        <v>2380.52</v>
      </c>
      <c r="F46">
        <v>2420.7199999999998</v>
      </c>
      <c r="G46">
        <v>2487.2600000000002</v>
      </c>
      <c r="H46">
        <v>2675.83</v>
      </c>
      <c r="I46">
        <v>2641.67</v>
      </c>
      <c r="J46">
        <v>2615.39</v>
      </c>
      <c r="K46">
        <v>2651.69</v>
      </c>
    </row>
    <row r="47" spans="1:11" s="6" customFormat="1" x14ac:dyDescent="0.3">
      <c r="A47" s="6" t="s">
        <v>12</v>
      </c>
      <c r="B47">
        <v>-2578.64</v>
      </c>
      <c r="C47">
        <v>-3471.55</v>
      </c>
      <c r="D47">
        <v>-612.12</v>
      </c>
      <c r="E47">
        <v>-341.1</v>
      </c>
      <c r="F47">
        <v>-3468.05</v>
      </c>
      <c r="G47">
        <v>-1461.15</v>
      </c>
      <c r="H47">
        <v>3202.61</v>
      </c>
      <c r="I47">
        <v>4784.1400000000003</v>
      </c>
      <c r="J47">
        <v>4652.71</v>
      </c>
      <c r="K47">
        <v>5985.88</v>
      </c>
    </row>
    <row r="48" spans="1:11" s="6" customFormat="1" x14ac:dyDescent="0.3">
      <c r="A48" s="6" t="s">
        <v>13</v>
      </c>
      <c r="B48">
        <v>1741.96</v>
      </c>
      <c r="C48">
        <v>1005.06</v>
      </c>
      <c r="D48">
        <v>726.05</v>
      </c>
      <c r="E48">
        <v>758.22</v>
      </c>
      <c r="F48">
        <v>1518.96</v>
      </c>
      <c r="G48">
        <v>-457.08</v>
      </c>
      <c r="H48">
        <v>262.83</v>
      </c>
      <c r="I48">
        <v>-620.65</v>
      </c>
      <c r="J48">
        <v>1563.01</v>
      </c>
      <c r="K48">
        <v>2202.84</v>
      </c>
    </row>
    <row r="49" spans="1:11" s="6" customFormat="1" x14ac:dyDescent="0.3">
      <c r="A49" s="6" t="s">
        <v>14</v>
      </c>
      <c r="B49">
        <v>-4450.92</v>
      </c>
      <c r="C49">
        <v>-4441.57</v>
      </c>
      <c r="D49">
        <v>-1516.14</v>
      </c>
      <c r="E49">
        <v>-1032.8399999999999</v>
      </c>
      <c r="F49">
        <v>-5006.6000000000004</v>
      </c>
      <c r="G49">
        <v>-944.61</v>
      </c>
      <c r="H49">
        <v>2957.71</v>
      </c>
      <c r="I49">
        <v>5407.79</v>
      </c>
      <c r="J49">
        <v>3202.8</v>
      </c>
      <c r="K49">
        <v>3764</v>
      </c>
    </row>
    <row r="50" spans="1:11" x14ac:dyDescent="0.3">
      <c r="A50" s="6" t="s">
        <v>8</v>
      </c>
      <c r="B50">
        <v>5242.67</v>
      </c>
      <c r="C50">
        <v>4116.6099999999997</v>
      </c>
      <c r="D50">
        <v>7078.02</v>
      </c>
      <c r="E50">
        <v>8282.7900000000009</v>
      </c>
      <c r="F50">
        <v>2412.73</v>
      </c>
      <c r="G50">
        <v>5572.31</v>
      </c>
      <c r="H50">
        <v>10820.24</v>
      </c>
      <c r="I50">
        <v>13114.4</v>
      </c>
      <c r="J50">
        <v>13217.72</v>
      </c>
      <c r="K50">
        <v>13766.94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41729</v>
      </c>
      <c r="C56" s="12">
        <v>42094</v>
      </c>
      <c r="D56" s="12">
        <v>42460</v>
      </c>
      <c r="E56" s="12">
        <v>42825</v>
      </c>
      <c r="F56" s="12">
        <v>43190</v>
      </c>
      <c r="G56" s="12">
        <v>43555</v>
      </c>
      <c r="H56" s="12">
        <v>43921</v>
      </c>
      <c r="I56" s="12">
        <v>44286</v>
      </c>
      <c r="J56" s="12">
        <v>44651</v>
      </c>
      <c r="K56" s="12">
        <v>45016</v>
      </c>
    </row>
    <row r="57" spans="1:11" x14ac:dyDescent="0.3">
      <c r="A57" s="6" t="s">
        <v>24</v>
      </c>
      <c r="B57">
        <v>643.78</v>
      </c>
      <c r="C57">
        <v>643.78</v>
      </c>
      <c r="D57">
        <v>679.18</v>
      </c>
      <c r="E57">
        <v>679.22</v>
      </c>
      <c r="F57">
        <v>679.22</v>
      </c>
      <c r="G57">
        <v>679.22</v>
      </c>
      <c r="H57">
        <v>719.54</v>
      </c>
      <c r="I57">
        <v>765.81</v>
      </c>
      <c r="J57">
        <v>765.88</v>
      </c>
      <c r="K57">
        <v>766.02</v>
      </c>
    </row>
    <row r="58" spans="1:11" x14ac:dyDescent="0.3">
      <c r="A58" s="6" t="s">
        <v>25</v>
      </c>
      <c r="B58">
        <v>64959.67</v>
      </c>
      <c r="C58">
        <v>55618.14</v>
      </c>
      <c r="D58">
        <v>78273.23</v>
      </c>
      <c r="E58">
        <v>57382.67</v>
      </c>
      <c r="F58">
        <v>94748.69</v>
      </c>
      <c r="G58">
        <v>59500.34</v>
      </c>
      <c r="H58">
        <v>61491.49</v>
      </c>
      <c r="I58">
        <v>54480.91</v>
      </c>
      <c r="J58">
        <v>43795.360000000001</v>
      </c>
      <c r="K58">
        <v>44555.77</v>
      </c>
    </row>
    <row r="59" spans="1:11" x14ac:dyDescent="0.3">
      <c r="A59" s="6" t="s">
        <v>71</v>
      </c>
      <c r="B59">
        <v>60642.28</v>
      </c>
      <c r="C59">
        <v>73610.39</v>
      </c>
      <c r="D59">
        <v>69359.960000000006</v>
      </c>
      <c r="E59">
        <v>78603.98</v>
      </c>
      <c r="F59">
        <v>88950.47</v>
      </c>
      <c r="G59">
        <v>106175.34</v>
      </c>
      <c r="H59">
        <v>124787.64</v>
      </c>
      <c r="I59">
        <v>142130.57</v>
      </c>
      <c r="J59">
        <v>146449.03</v>
      </c>
      <c r="K59">
        <v>134113.44</v>
      </c>
    </row>
    <row r="60" spans="1:11" x14ac:dyDescent="0.3">
      <c r="A60" s="6" t="s">
        <v>72</v>
      </c>
      <c r="B60">
        <v>92180.26</v>
      </c>
      <c r="C60">
        <v>107442.48</v>
      </c>
      <c r="D60">
        <v>114871.75</v>
      </c>
      <c r="E60">
        <v>135914.49</v>
      </c>
      <c r="F60">
        <v>142813.43</v>
      </c>
      <c r="G60">
        <v>139348.59</v>
      </c>
      <c r="H60">
        <v>133180.72</v>
      </c>
      <c r="I60">
        <v>144192.62</v>
      </c>
      <c r="J60">
        <v>138051.22</v>
      </c>
      <c r="K60">
        <v>155239.20000000001</v>
      </c>
    </row>
    <row r="61" spans="1:11" s="1" customFormat="1" x14ac:dyDescent="0.3">
      <c r="A61" s="1" t="s">
        <v>26</v>
      </c>
      <c r="B61">
        <v>218425.99</v>
      </c>
      <c r="C61">
        <v>237314.79</v>
      </c>
      <c r="D61">
        <v>263184.12</v>
      </c>
      <c r="E61">
        <v>272580.36</v>
      </c>
      <c r="F61">
        <v>327191.81</v>
      </c>
      <c r="G61">
        <v>305703.49</v>
      </c>
      <c r="H61">
        <v>320179.39</v>
      </c>
      <c r="I61">
        <v>341569.91</v>
      </c>
      <c r="J61">
        <v>329061.49</v>
      </c>
      <c r="K61">
        <v>334674.43</v>
      </c>
    </row>
    <row r="62" spans="1:11" x14ac:dyDescent="0.3">
      <c r="A62" s="6" t="s">
        <v>27</v>
      </c>
      <c r="B62">
        <v>69091.67</v>
      </c>
      <c r="C62">
        <v>88479.49</v>
      </c>
      <c r="D62">
        <v>107231.76</v>
      </c>
      <c r="E62">
        <v>95944.08</v>
      </c>
      <c r="F62">
        <v>121413.86</v>
      </c>
      <c r="G62">
        <v>111234.47</v>
      </c>
      <c r="H62">
        <v>127107.14</v>
      </c>
      <c r="I62">
        <v>138707.60999999999</v>
      </c>
      <c r="J62">
        <v>138855.45000000001</v>
      </c>
      <c r="K62">
        <v>132079.76</v>
      </c>
    </row>
    <row r="63" spans="1:11" x14ac:dyDescent="0.3">
      <c r="A63" s="6" t="s">
        <v>28</v>
      </c>
      <c r="B63">
        <v>33262.559999999998</v>
      </c>
      <c r="C63">
        <v>28640.09</v>
      </c>
      <c r="D63">
        <v>25918.94</v>
      </c>
      <c r="E63">
        <v>33698.839999999997</v>
      </c>
      <c r="F63">
        <v>40033.5</v>
      </c>
      <c r="G63">
        <v>31883.84</v>
      </c>
      <c r="H63">
        <v>35622.29</v>
      </c>
      <c r="I63">
        <v>20963.93</v>
      </c>
      <c r="J63">
        <v>10251.09</v>
      </c>
      <c r="K63">
        <v>14274.5</v>
      </c>
    </row>
    <row r="64" spans="1:11" x14ac:dyDescent="0.3">
      <c r="A64" s="6" t="s">
        <v>29</v>
      </c>
      <c r="B64">
        <v>10686.67</v>
      </c>
      <c r="C64">
        <v>15336.74</v>
      </c>
      <c r="D64">
        <v>23767.02</v>
      </c>
      <c r="E64">
        <v>20337.919999999998</v>
      </c>
      <c r="F64">
        <v>20812.75</v>
      </c>
      <c r="G64">
        <v>15770.72</v>
      </c>
      <c r="H64">
        <v>16308.48</v>
      </c>
      <c r="I64">
        <v>24620.28</v>
      </c>
      <c r="J64">
        <v>29379.53</v>
      </c>
      <c r="K64">
        <v>26379.16</v>
      </c>
    </row>
    <row r="65" spans="1:11" x14ac:dyDescent="0.3">
      <c r="A65" s="6" t="s">
        <v>73</v>
      </c>
      <c r="B65">
        <v>105385.09</v>
      </c>
      <c r="C65">
        <v>104858.47</v>
      </c>
      <c r="D65">
        <v>106266.4</v>
      </c>
      <c r="E65">
        <v>122599.52</v>
      </c>
      <c r="F65">
        <v>144931.70000000001</v>
      </c>
      <c r="G65">
        <v>146814.46</v>
      </c>
      <c r="H65">
        <v>141141.48000000001</v>
      </c>
      <c r="I65">
        <v>157278.09</v>
      </c>
      <c r="J65">
        <v>150575.42000000001</v>
      </c>
      <c r="K65">
        <v>161941.01</v>
      </c>
    </row>
    <row r="66" spans="1:11" s="1" customFormat="1" x14ac:dyDescent="0.3">
      <c r="A66" s="1" t="s">
        <v>26</v>
      </c>
      <c r="B66">
        <v>218425.99</v>
      </c>
      <c r="C66">
        <v>237314.79</v>
      </c>
      <c r="D66">
        <v>263184.12</v>
      </c>
      <c r="E66">
        <v>272580.36</v>
      </c>
      <c r="F66">
        <v>327191.81</v>
      </c>
      <c r="G66">
        <v>305703.49</v>
      </c>
      <c r="H66">
        <v>320179.39</v>
      </c>
      <c r="I66">
        <v>341569.91</v>
      </c>
      <c r="J66">
        <v>329061.49</v>
      </c>
      <c r="K66">
        <v>334674.43</v>
      </c>
    </row>
    <row r="67" spans="1:11" s="6" customFormat="1" x14ac:dyDescent="0.3">
      <c r="A67" s="6" t="s">
        <v>78</v>
      </c>
      <c r="B67">
        <v>10574.23</v>
      </c>
      <c r="C67">
        <v>12579.2</v>
      </c>
      <c r="D67">
        <v>13570.91</v>
      </c>
      <c r="E67">
        <v>14075.55</v>
      </c>
      <c r="F67">
        <v>19893.3</v>
      </c>
      <c r="G67">
        <v>18996.169999999998</v>
      </c>
      <c r="H67">
        <v>11172.69</v>
      </c>
      <c r="I67">
        <v>12679.08</v>
      </c>
      <c r="J67">
        <v>12442.12</v>
      </c>
      <c r="K67">
        <v>15737.97</v>
      </c>
    </row>
    <row r="68" spans="1:11" x14ac:dyDescent="0.3">
      <c r="A68" s="6" t="s">
        <v>45</v>
      </c>
      <c r="B68">
        <v>27270.89</v>
      </c>
      <c r="C68">
        <v>29272.34</v>
      </c>
      <c r="D68">
        <v>32655.73</v>
      </c>
      <c r="E68">
        <v>35085.31</v>
      </c>
      <c r="F68">
        <v>42137.63</v>
      </c>
      <c r="G68">
        <v>39013.730000000003</v>
      </c>
      <c r="H68">
        <v>37456.879999999997</v>
      </c>
      <c r="I68">
        <v>36088.589999999997</v>
      </c>
      <c r="J68">
        <v>35240.339999999997</v>
      </c>
      <c r="K68">
        <v>40755.39</v>
      </c>
    </row>
    <row r="69" spans="1:11" x14ac:dyDescent="0.3">
      <c r="A69" s="4" t="s">
        <v>87</v>
      </c>
      <c r="B69">
        <v>29711.79</v>
      </c>
      <c r="C69">
        <v>32115.759999999998</v>
      </c>
      <c r="D69">
        <v>30460.400000000001</v>
      </c>
      <c r="E69">
        <v>36077.879999999997</v>
      </c>
      <c r="F69">
        <v>34613.910000000003</v>
      </c>
      <c r="G69">
        <v>32648.82</v>
      </c>
      <c r="H69">
        <v>33726.97</v>
      </c>
      <c r="I69">
        <v>46792.46</v>
      </c>
      <c r="J69">
        <v>40669.19</v>
      </c>
      <c r="K69">
        <v>37015.56</v>
      </c>
    </row>
    <row r="70" spans="1:11" x14ac:dyDescent="0.3">
      <c r="A70" s="4" t="s">
        <v>74</v>
      </c>
      <c r="B70">
        <v>3218930000</v>
      </c>
      <c r="C70">
        <v>3218930067</v>
      </c>
      <c r="D70">
        <v>3395930306</v>
      </c>
      <c r="E70">
        <v>3396100719</v>
      </c>
      <c r="F70">
        <v>3396100719</v>
      </c>
      <c r="G70">
        <v>3396100719</v>
      </c>
      <c r="H70">
        <v>3597726185</v>
      </c>
      <c r="I70">
        <v>3829060661</v>
      </c>
      <c r="J70">
        <v>3829414903</v>
      </c>
      <c r="K70">
        <v>3830097221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41729</v>
      </c>
      <c r="C81" s="12">
        <v>42094</v>
      </c>
      <c r="D81" s="12">
        <v>42460</v>
      </c>
      <c r="E81" s="12">
        <v>42825</v>
      </c>
      <c r="F81" s="12">
        <v>43190</v>
      </c>
      <c r="G81" s="12">
        <v>43555</v>
      </c>
      <c r="H81" s="12">
        <v>43921</v>
      </c>
      <c r="I81" s="12">
        <v>44286</v>
      </c>
      <c r="J81" s="12">
        <v>44651</v>
      </c>
      <c r="K81" s="12">
        <v>45016</v>
      </c>
    </row>
    <row r="82" spans="1:11" s="1" customFormat="1" x14ac:dyDescent="0.3">
      <c r="A82" s="6" t="s">
        <v>32</v>
      </c>
      <c r="B82">
        <v>36151.160000000003</v>
      </c>
      <c r="C82">
        <v>35531.26</v>
      </c>
      <c r="D82">
        <v>37899.54</v>
      </c>
      <c r="E82">
        <v>30199.25</v>
      </c>
      <c r="F82">
        <v>23857.42</v>
      </c>
      <c r="G82">
        <v>18890.75</v>
      </c>
      <c r="H82">
        <v>26632.94</v>
      </c>
      <c r="I82">
        <v>29000.51</v>
      </c>
      <c r="J82">
        <v>14282.83</v>
      </c>
      <c r="K82">
        <v>35388.01</v>
      </c>
    </row>
    <row r="83" spans="1:11" s="6" customFormat="1" x14ac:dyDescent="0.3">
      <c r="A83" s="6" t="s">
        <v>33</v>
      </c>
      <c r="B83">
        <v>-27990.91</v>
      </c>
      <c r="C83">
        <v>-36232.35</v>
      </c>
      <c r="D83">
        <v>-36693.9</v>
      </c>
      <c r="E83">
        <v>-39571.4</v>
      </c>
      <c r="F83">
        <v>-25139.14</v>
      </c>
      <c r="G83">
        <v>-20878.07</v>
      </c>
      <c r="H83">
        <v>-33114.550000000003</v>
      </c>
      <c r="I83">
        <v>-25672.5</v>
      </c>
      <c r="J83">
        <v>-4443.66</v>
      </c>
      <c r="K83">
        <v>-15417.17</v>
      </c>
    </row>
    <row r="84" spans="1:11" s="6" customFormat="1" x14ac:dyDescent="0.3">
      <c r="A84" s="6" t="s">
        <v>34</v>
      </c>
      <c r="B84">
        <v>-3883.24</v>
      </c>
      <c r="C84">
        <v>5201.4399999999996</v>
      </c>
      <c r="D84">
        <v>-3795.12</v>
      </c>
      <c r="E84">
        <v>6205.3</v>
      </c>
      <c r="F84">
        <v>2011.71</v>
      </c>
      <c r="G84">
        <v>8830.3700000000008</v>
      </c>
      <c r="H84">
        <v>3389.61</v>
      </c>
      <c r="I84">
        <v>9904.2000000000007</v>
      </c>
      <c r="J84">
        <v>-3380.17</v>
      </c>
      <c r="K84">
        <v>-26242.9</v>
      </c>
    </row>
    <row r="85" spans="1:11" s="1" customFormat="1" x14ac:dyDescent="0.3">
      <c r="A85" s="6" t="s">
        <v>35</v>
      </c>
      <c r="B85">
        <v>4277.01</v>
      </c>
      <c r="C85">
        <v>4500.3500000000004</v>
      </c>
      <c r="D85">
        <v>-2589.48</v>
      </c>
      <c r="E85">
        <v>-3166.85</v>
      </c>
      <c r="F85">
        <v>729.99</v>
      </c>
      <c r="G85">
        <v>6843.05</v>
      </c>
      <c r="H85">
        <v>-3092</v>
      </c>
      <c r="I85">
        <v>13232.21</v>
      </c>
      <c r="J85">
        <v>6459</v>
      </c>
      <c r="K85">
        <v>-6272.06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394.42</v>
      </c>
      <c r="C90">
        <v>544.37</v>
      </c>
      <c r="D90">
        <v>386.6</v>
      </c>
      <c r="E90">
        <v>465.85</v>
      </c>
      <c r="F90">
        <v>326.85000000000002</v>
      </c>
      <c r="G90">
        <v>174.25</v>
      </c>
      <c r="H90">
        <v>71.05</v>
      </c>
      <c r="I90">
        <v>301.8</v>
      </c>
      <c r="J90">
        <v>433.75</v>
      </c>
      <c r="K90">
        <v>420.8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288.74</v>
      </c>
      <c r="C93" s="24">
        <v>288.74</v>
      </c>
      <c r="D93" s="24">
        <v>288.72000000000003</v>
      </c>
      <c r="E93" s="24">
        <v>288.73</v>
      </c>
      <c r="F93" s="24">
        <v>288.73</v>
      </c>
      <c r="G93" s="24">
        <v>288.73</v>
      </c>
      <c r="H93" s="24">
        <v>308.89999999999998</v>
      </c>
      <c r="I93" s="24">
        <v>332.03</v>
      </c>
      <c r="J93" s="24">
        <v>332.07</v>
      </c>
      <c r="K93" s="24">
        <v>332.13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0701-01EB-4024-B77B-DBC747B3E540}">
  <dimension ref="B2:N34"/>
  <sheetViews>
    <sheetView topLeftCell="A6" workbookViewId="0">
      <selection activeCell="R22" sqref="R22"/>
    </sheetView>
  </sheetViews>
  <sheetFormatPr defaultRowHeight="14.4" x14ac:dyDescent="0.3"/>
  <cols>
    <col min="2" max="2" width="25.77734375" bestFit="1" customWidth="1"/>
  </cols>
  <sheetData>
    <row r="2" spans="2:14" x14ac:dyDescent="0.3">
      <c r="C2" s="38">
        <v>40969</v>
      </c>
      <c r="D2" s="38">
        <v>41334</v>
      </c>
      <c r="E2" s="38">
        <v>41699</v>
      </c>
      <c r="F2" s="38">
        <v>42064</v>
      </c>
      <c r="G2" s="38">
        <v>42430</v>
      </c>
      <c r="H2" s="38">
        <v>42795</v>
      </c>
      <c r="I2" s="38">
        <v>43160</v>
      </c>
      <c r="J2" s="38">
        <v>43525</v>
      </c>
      <c r="K2" s="38">
        <v>43891</v>
      </c>
      <c r="L2" s="38">
        <v>44256</v>
      </c>
      <c r="M2" s="38">
        <v>44621</v>
      </c>
      <c r="N2" s="38">
        <v>44986</v>
      </c>
    </row>
    <row r="3" spans="2:14" x14ac:dyDescent="0.3">
      <c r="B3" t="s">
        <v>126</v>
      </c>
      <c r="C3" s="39">
        <v>18384</v>
      </c>
      <c r="D3" s="39">
        <v>22163</v>
      </c>
      <c r="E3" s="39">
        <v>36151</v>
      </c>
      <c r="F3" s="39">
        <v>35531</v>
      </c>
      <c r="G3" s="39">
        <v>37900</v>
      </c>
      <c r="H3" s="39">
        <v>30199</v>
      </c>
      <c r="I3" s="39">
        <v>23857</v>
      </c>
      <c r="J3" s="39">
        <v>18891</v>
      </c>
      <c r="K3" s="39">
        <v>26633</v>
      </c>
      <c r="L3" s="39">
        <v>29001</v>
      </c>
      <c r="M3" s="39">
        <v>14283</v>
      </c>
      <c r="N3" s="39">
        <v>35388</v>
      </c>
    </row>
    <row r="4" spans="2:14" x14ac:dyDescent="0.3">
      <c r="B4" t="s">
        <v>127</v>
      </c>
      <c r="C4" s="39">
        <v>22432</v>
      </c>
      <c r="D4" s="39">
        <v>24406</v>
      </c>
      <c r="E4" s="39">
        <v>36303</v>
      </c>
      <c r="F4" s="39">
        <v>43397</v>
      </c>
      <c r="G4" s="39">
        <v>38626</v>
      </c>
      <c r="H4" s="39">
        <v>28840</v>
      </c>
      <c r="I4" s="39">
        <v>33312</v>
      </c>
      <c r="J4" s="39">
        <v>28771</v>
      </c>
      <c r="K4" s="39">
        <v>23352</v>
      </c>
      <c r="L4" s="39">
        <v>31198</v>
      </c>
      <c r="M4" s="39">
        <v>26943</v>
      </c>
      <c r="N4" s="39">
        <v>41694</v>
      </c>
    </row>
    <row r="5" spans="2:14" x14ac:dyDescent="0.3">
      <c r="B5" t="s">
        <v>78</v>
      </c>
      <c r="C5" s="39">
        <v>-6659</v>
      </c>
      <c r="D5" s="39">
        <v>-5177</v>
      </c>
      <c r="E5">
        <v>445</v>
      </c>
      <c r="F5" s="39">
        <v>-3179</v>
      </c>
      <c r="G5" s="39">
        <v>-2223</v>
      </c>
      <c r="H5" s="39">
        <v>-4152</v>
      </c>
      <c r="I5" s="39">
        <v>-10688</v>
      </c>
      <c r="J5" s="39">
        <v>-9109</v>
      </c>
      <c r="K5" s="39">
        <v>9950</v>
      </c>
      <c r="L5" s="39">
        <v>-5505</v>
      </c>
      <c r="M5">
        <v>185</v>
      </c>
      <c r="N5" s="39">
        <v>-2213</v>
      </c>
    </row>
    <row r="6" spans="2:14" x14ac:dyDescent="0.3">
      <c r="B6" t="s">
        <v>45</v>
      </c>
      <c r="C6" s="39">
        <v>-2719</v>
      </c>
      <c r="D6" s="39">
        <v>-2656</v>
      </c>
      <c r="E6" s="39">
        <v>-2853</v>
      </c>
      <c r="F6" s="39">
        <v>-3692</v>
      </c>
      <c r="G6" s="39">
        <v>-5743</v>
      </c>
      <c r="H6" s="39">
        <v>-6621</v>
      </c>
      <c r="I6" s="39">
        <v>-3560</v>
      </c>
      <c r="J6" s="39">
        <v>2069</v>
      </c>
      <c r="K6" s="39">
        <v>2326</v>
      </c>
      <c r="L6" s="39">
        <v>3814</v>
      </c>
      <c r="M6">
        <v>472</v>
      </c>
      <c r="N6" s="39">
        <v>-5665</v>
      </c>
    </row>
    <row r="7" spans="2:14" x14ac:dyDescent="0.3">
      <c r="B7" t="s">
        <v>128</v>
      </c>
      <c r="C7" s="39">
        <v>5867</v>
      </c>
      <c r="D7" s="39">
        <v>8132</v>
      </c>
      <c r="E7" s="39">
        <v>4694</v>
      </c>
      <c r="F7" s="39">
        <v>3598</v>
      </c>
      <c r="G7" s="39">
        <v>3947</v>
      </c>
      <c r="H7" s="39">
        <v>9301</v>
      </c>
      <c r="I7" s="39">
        <v>7320</v>
      </c>
      <c r="J7" s="39">
        <v>-4692</v>
      </c>
      <c r="K7" s="39">
        <v>-8085</v>
      </c>
      <c r="L7" s="39">
        <v>5748</v>
      </c>
      <c r="M7" s="39">
        <v>-7012</v>
      </c>
      <c r="N7" s="39">
        <v>6945</v>
      </c>
    </row>
    <row r="8" spans="2:14" x14ac:dyDescent="0.3">
      <c r="B8" t="s">
        <v>129</v>
      </c>
      <c r="C8">
        <v>0</v>
      </c>
      <c r="D8">
        <v>0</v>
      </c>
      <c r="E8">
        <v>0</v>
      </c>
      <c r="F8">
        <v>0</v>
      </c>
      <c r="G8">
        <v>-520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3">
      <c r="B9" t="s">
        <v>130</v>
      </c>
      <c r="C9" s="39">
        <v>1231</v>
      </c>
      <c r="D9">
        <v>-303</v>
      </c>
      <c r="E9" s="39">
        <v>1870</v>
      </c>
      <c r="F9">
        <v>-398</v>
      </c>
      <c r="G9" s="39">
        <v>5852</v>
      </c>
      <c r="H9" s="39">
        <v>4727</v>
      </c>
      <c r="I9">
        <v>494</v>
      </c>
      <c r="J9" s="39">
        <v>4512</v>
      </c>
      <c r="K9">
        <v>875</v>
      </c>
      <c r="L9" s="39">
        <v>-4150</v>
      </c>
      <c r="M9" s="39">
        <v>-4396</v>
      </c>
      <c r="N9" s="39">
        <v>-2194</v>
      </c>
    </row>
    <row r="10" spans="2:14" x14ac:dyDescent="0.3">
      <c r="B10" t="s">
        <v>131</v>
      </c>
      <c r="C10" s="39">
        <v>-2280</v>
      </c>
      <c r="D10">
        <v>-3</v>
      </c>
      <c r="E10" s="39">
        <v>4157</v>
      </c>
      <c r="F10" s="39">
        <v>-3672</v>
      </c>
      <c r="G10" s="39">
        <v>1313</v>
      </c>
      <c r="H10" s="39">
        <v>3254</v>
      </c>
      <c r="I10" s="39">
        <v>-6434</v>
      </c>
      <c r="J10" s="39">
        <v>-7221</v>
      </c>
      <c r="K10" s="39">
        <v>5065</v>
      </c>
      <c r="L10">
        <v>-93</v>
      </c>
      <c r="M10" s="39">
        <v>-10750</v>
      </c>
      <c r="N10" s="39">
        <v>-3127</v>
      </c>
    </row>
    <row r="11" spans="2:14" x14ac:dyDescent="0.3">
      <c r="B11" t="s">
        <v>132</v>
      </c>
      <c r="C11" s="39">
        <v>-1768</v>
      </c>
      <c r="D11" s="39">
        <v>-2240</v>
      </c>
      <c r="E11" s="39">
        <v>-4308</v>
      </c>
      <c r="F11" s="39">
        <v>-4194</v>
      </c>
      <c r="G11" s="39">
        <v>-2040</v>
      </c>
      <c r="H11" s="39">
        <v>-1895</v>
      </c>
      <c r="I11" s="39">
        <v>-3021</v>
      </c>
      <c r="J11" s="39">
        <v>-2659</v>
      </c>
      <c r="K11" s="39">
        <v>-1785</v>
      </c>
      <c r="L11" s="39">
        <v>-2105</v>
      </c>
      <c r="M11" s="39">
        <v>-1910</v>
      </c>
      <c r="N11" s="39">
        <v>-3179</v>
      </c>
    </row>
    <row r="12" spans="2:14" x14ac:dyDescent="0.3">
      <c r="B12" t="s">
        <v>133</v>
      </c>
      <c r="C12" s="39">
        <v>-19464</v>
      </c>
      <c r="D12" s="39">
        <v>-22969</v>
      </c>
      <c r="E12" s="39">
        <v>-27991</v>
      </c>
      <c r="F12" s="39">
        <v>-36232</v>
      </c>
      <c r="G12" s="39">
        <v>-36694</v>
      </c>
      <c r="H12" s="39">
        <v>-39571</v>
      </c>
      <c r="I12" s="39">
        <v>-25139</v>
      </c>
      <c r="J12" s="39">
        <v>-20878</v>
      </c>
      <c r="K12" s="39">
        <v>-33115</v>
      </c>
      <c r="L12" s="39">
        <v>-25672</v>
      </c>
      <c r="M12" s="39">
        <v>-4444</v>
      </c>
      <c r="N12" s="39">
        <v>-15417</v>
      </c>
    </row>
    <row r="13" spans="2:14" x14ac:dyDescent="0.3">
      <c r="B13" t="s">
        <v>134</v>
      </c>
      <c r="C13" s="39">
        <v>-13876</v>
      </c>
      <c r="D13" s="39">
        <v>-18863</v>
      </c>
      <c r="E13" s="39">
        <v>-26975</v>
      </c>
      <c r="F13" s="39">
        <v>-31962</v>
      </c>
      <c r="G13" s="39">
        <v>-31503</v>
      </c>
      <c r="H13" s="39">
        <v>-16072</v>
      </c>
      <c r="I13" s="39">
        <v>-35079</v>
      </c>
      <c r="J13" s="39">
        <v>-35304</v>
      </c>
      <c r="K13" s="39">
        <v>-29702</v>
      </c>
      <c r="L13" s="39">
        <v>-20205</v>
      </c>
      <c r="M13" s="39">
        <v>-15168</v>
      </c>
      <c r="N13" s="39">
        <v>-19230</v>
      </c>
    </row>
    <row r="14" spans="2:14" x14ac:dyDescent="0.3">
      <c r="B14" t="s">
        <v>135</v>
      </c>
      <c r="C14">
        <v>93</v>
      </c>
      <c r="D14">
        <v>37</v>
      </c>
      <c r="E14">
        <v>50</v>
      </c>
      <c r="F14">
        <v>74</v>
      </c>
      <c r="G14">
        <v>59</v>
      </c>
      <c r="H14">
        <v>53</v>
      </c>
      <c r="I14">
        <v>30</v>
      </c>
      <c r="J14">
        <v>67</v>
      </c>
      <c r="K14">
        <v>171</v>
      </c>
      <c r="L14">
        <v>351</v>
      </c>
      <c r="M14">
        <v>230</v>
      </c>
      <c r="N14">
        <v>285</v>
      </c>
    </row>
    <row r="15" spans="2:14" x14ac:dyDescent="0.3">
      <c r="B15" t="s">
        <v>136</v>
      </c>
      <c r="C15" s="39">
        <v>-5857</v>
      </c>
      <c r="D15">
        <v>73</v>
      </c>
      <c r="E15">
        <v>-429</v>
      </c>
      <c r="F15" s="39">
        <v>-5461</v>
      </c>
      <c r="G15" s="39">
        <v>-4728</v>
      </c>
      <c r="H15">
        <v>-6</v>
      </c>
      <c r="I15">
        <v>-329</v>
      </c>
      <c r="J15">
        <v>-130</v>
      </c>
      <c r="K15" s="39">
        <v>-1439</v>
      </c>
      <c r="L15" s="39">
        <v>-7530</v>
      </c>
      <c r="M15" s="39">
        <v>-3008</v>
      </c>
      <c r="N15">
        <v>-50</v>
      </c>
    </row>
    <row r="16" spans="2:14" x14ac:dyDescent="0.3">
      <c r="B16" t="s">
        <v>137</v>
      </c>
      <c r="C16">
        <v>84</v>
      </c>
      <c r="D16">
        <v>34</v>
      </c>
      <c r="E16">
        <v>4</v>
      </c>
      <c r="F16">
        <v>42</v>
      </c>
      <c r="G16">
        <v>89</v>
      </c>
      <c r="H16" s="39">
        <v>1965</v>
      </c>
      <c r="I16" s="39">
        <v>2381</v>
      </c>
      <c r="J16" s="39">
        <v>5644</v>
      </c>
      <c r="K16">
        <v>21</v>
      </c>
      <c r="L16">
        <v>226</v>
      </c>
      <c r="M16">
        <v>104</v>
      </c>
      <c r="N16" s="39">
        <v>6895</v>
      </c>
    </row>
    <row r="17" spans="2:14" x14ac:dyDescent="0.3">
      <c r="B17" t="s">
        <v>138</v>
      </c>
      <c r="C17">
        <v>467</v>
      </c>
      <c r="D17">
        <v>713</v>
      </c>
      <c r="E17">
        <v>653</v>
      </c>
      <c r="F17">
        <v>698</v>
      </c>
      <c r="G17">
        <v>731</v>
      </c>
      <c r="H17">
        <v>638</v>
      </c>
      <c r="I17">
        <v>690</v>
      </c>
      <c r="J17">
        <v>761</v>
      </c>
      <c r="K17" s="39">
        <v>1104</v>
      </c>
      <c r="L17">
        <v>428</v>
      </c>
      <c r="M17">
        <v>653</v>
      </c>
      <c r="N17">
        <v>973</v>
      </c>
    </row>
    <row r="18" spans="2:14" x14ac:dyDescent="0.3">
      <c r="B18" t="s">
        <v>139</v>
      </c>
      <c r="C18">
        <v>70</v>
      </c>
      <c r="D18">
        <v>95</v>
      </c>
      <c r="E18">
        <v>40</v>
      </c>
      <c r="F18">
        <v>80</v>
      </c>
      <c r="G18">
        <v>58</v>
      </c>
      <c r="H18">
        <v>620</v>
      </c>
      <c r="I18" s="39">
        <v>1797</v>
      </c>
      <c r="J18">
        <v>232</v>
      </c>
      <c r="K18">
        <v>21</v>
      </c>
      <c r="L18">
        <v>18</v>
      </c>
      <c r="M18">
        <v>32</v>
      </c>
      <c r="N18">
        <v>46</v>
      </c>
    </row>
    <row r="19" spans="2:14" x14ac:dyDescent="0.3">
      <c r="B19" t="s">
        <v>140</v>
      </c>
      <c r="C19">
        <v>-304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3">
      <c r="B20" t="s">
        <v>141</v>
      </c>
      <c r="C20">
        <v>-9</v>
      </c>
      <c r="D20">
        <v>0</v>
      </c>
      <c r="E20">
        <v>0</v>
      </c>
      <c r="F20">
        <v>-160</v>
      </c>
      <c r="G20">
        <v>0</v>
      </c>
      <c r="H20">
        <v>-107</v>
      </c>
      <c r="I20">
        <v>-4</v>
      </c>
      <c r="J20">
        <v>-9</v>
      </c>
      <c r="K20">
        <v>-606</v>
      </c>
      <c r="L20">
        <v>-10</v>
      </c>
      <c r="M20">
        <v>0</v>
      </c>
      <c r="N20">
        <v>0</v>
      </c>
    </row>
    <row r="21" spans="2:14" x14ac:dyDescent="0.3">
      <c r="B21" t="s">
        <v>142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14</v>
      </c>
      <c r="J21">
        <v>533</v>
      </c>
      <c r="K21">
        <v>0</v>
      </c>
      <c r="L21">
        <v>0</v>
      </c>
      <c r="M21">
        <v>0</v>
      </c>
      <c r="N21">
        <v>19</v>
      </c>
    </row>
    <row r="22" spans="2:14" x14ac:dyDescent="0.3">
      <c r="B22" t="s">
        <v>143</v>
      </c>
      <c r="C22">
        <v>0</v>
      </c>
      <c r="D22">
        <v>0</v>
      </c>
      <c r="E22">
        <v>-185</v>
      </c>
      <c r="F22">
        <v>0</v>
      </c>
      <c r="G22">
        <v>-111</v>
      </c>
      <c r="H22">
        <v>0</v>
      </c>
      <c r="I22">
        <v>0</v>
      </c>
      <c r="J22">
        <v>-8</v>
      </c>
      <c r="K22">
        <v>-27</v>
      </c>
      <c r="L22">
        <v>0</v>
      </c>
      <c r="M22">
        <v>-98</v>
      </c>
      <c r="N22">
        <v>0</v>
      </c>
    </row>
    <row r="23" spans="2:14" x14ac:dyDescent="0.3">
      <c r="B23" t="s">
        <v>144</v>
      </c>
      <c r="C23">
        <v>-3</v>
      </c>
      <c r="D23">
        <v>45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3">
      <c r="B24" t="s">
        <v>145</v>
      </c>
      <c r="C24">
        <v>-129</v>
      </c>
      <c r="D24" s="39">
        <v>-5103</v>
      </c>
      <c r="E24" s="39">
        <v>-1149</v>
      </c>
      <c r="F24">
        <v>456</v>
      </c>
      <c r="G24" s="39">
        <v>-1289</v>
      </c>
      <c r="H24" s="39">
        <v>-26663</v>
      </c>
      <c r="I24" s="39">
        <v>5360</v>
      </c>
      <c r="J24" s="39">
        <v>7335</v>
      </c>
      <c r="K24" s="39">
        <v>-2659</v>
      </c>
      <c r="L24" s="39">
        <v>1051</v>
      </c>
      <c r="M24" s="39">
        <v>12813</v>
      </c>
      <c r="N24" s="39">
        <v>-4357</v>
      </c>
    </row>
    <row r="25" spans="2:14" x14ac:dyDescent="0.3">
      <c r="B25" t="s">
        <v>146</v>
      </c>
      <c r="C25" s="39">
        <v>6567</v>
      </c>
      <c r="D25" s="39">
        <v>-1692</v>
      </c>
      <c r="E25" s="39">
        <v>-3883</v>
      </c>
      <c r="F25" s="39">
        <v>5201</v>
      </c>
      <c r="G25" s="39">
        <v>-3795</v>
      </c>
      <c r="H25" s="39">
        <v>6205</v>
      </c>
      <c r="I25" s="39">
        <v>2012</v>
      </c>
      <c r="J25" s="39">
        <v>8830</v>
      </c>
      <c r="K25" s="39">
        <v>3390</v>
      </c>
      <c r="L25" s="39">
        <v>9904</v>
      </c>
      <c r="M25" s="39">
        <v>-3380</v>
      </c>
      <c r="N25" s="39">
        <v>-26243</v>
      </c>
    </row>
    <row r="26" spans="2:14" x14ac:dyDescent="0.3">
      <c r="B26" t="s">
        <v>147</v>
      </c>
      <c r="C26">
        <v>139</v>
      </c>
      <c r="D26">
        <v>1</v>
      </c>
      <c r="E26">
        <v>0</v>
      </c>
      <c r="F26">
        <v>0</v>
      </c>
      <c r="G26" s="39">
        <v>7433</v>
      </c>
      <c r="H26">
        <v>5</v>
      </c>
      <c r="I26">
        <v>0</v>
      </c>
      <c r="J26">
        <v>0</v>
      </c>
      <c r="K26" s="39">
        <v>3889</v>
      </c>
      <c r="L26" s="39">
        <v>2603</v>
      </c>
      <c r="M26">
        <v>19</v>
      </c>
      <c r="N26">
        <v>20</v>
      </c>
    </row>
    <row r="27" spans="2:14" x14ac:dyDescent="0.3">
      <c r="B27" t="s">
        <v>148</v>
      </c>
      <c r="C27">
        <v>0</v>
      </c>
      <c r="D27">
        <v>-97</v>
      </c>
      <c r="E27">
        <v>-658</v>
      </c>
      <c r="F27">
        <v>-744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3">
      <c r="B28" t="s">
        <v>149</v>
      </c>
      <c r="C28" s="39">
        <v>27462</v>
      </c>
      <c r="D28" s="39">
        <v>27863</v>
      </c>
      <c r="E28" s="39">
        <v>33258</v>
      </c>
      <c r="F28" s="39">
        <v>36363</v>
      </c>
      <c r="G28" s="39">
        <v>19519</v>
      </c>
      <c r="H28" s="39">
        <v>33390</v>
      </c>
      <c r="I28" s="39">
        <v>37482</v>
      </c>
      <c r="J28" s="39">
        <v>51128</v>
      </c>
      <c r="K28" s="39">
        <v>38297</v>
      </c>
      <c r="L28" s="39">
        <v>46641</v>
      </c>
      <c r="M28" s="39">
        <v>46578</v>
      </c>
      <c r="N28" s="39">
        <v>43934</v>
      </c>
    </row>
    <row r="29" spans="2:14" x14ac:dyDescent="0.3">
      <c r="B29" t="s">
        <v>150</v>
      </c>
      <c r="C29" s="39">
        <v>-15010</v>
      </c>
      <c r="D29" s="39">
        <v>-20395</v>
      </c>
      <c r="E29" s="39">
        <v>-29141</v>
      </c>
      <c r="F29" s="39">
        <v>-23332</v>
      </c>
      <c r="G29" s="39">
        <v>-24924</v>
      </c>
      <c r="H29" s="39">
        <v>-21732</v>
      </c>
      <c r="I29" s="39">
        <v>-29964</v>
      </c>
      <c r="J29" s="39">
        <v>-35198</v>
      </c>
      <c r="K29" s="39">
        <v>-29847</v>
      </c>
      <c r="L29" s="39">
        <v>-29709</v>
      </c>
      <c r="M29" s="39">
        <v>-42816</v>
      </c>
      <c r="N29" s="39">
        <v>-62557</v>
      </c>
    </row>
    <row r="30" spans="2:14" x14ac:dyDescent="0.3">
      <c r="B30" t="s">
        <v>151</v>
      </c>
      <c r="C30" s="39">
        <v>-3374</v>
      </c>
      <c r="D30" s="39">
        <v>-4666</v>
      </c>
      <c r="E30" s="39">
        <v>-6171</v>
      </c>
      <c r="F30" s="39">
        <v>-6307</v>
      </c>
      <c r="G30" s="39">
        <v>-5716</v>
      </c>
      <c r="H30" s="39">
        <v>-5336</v>
      </c>
      <c r="I30" s="39">
        <v>-5411</v>
      </c>
      <c r="J30" s="39">
        <v>-7005</v>
      </c>
      <c r="K30" s="39">
        <v>-7518</v>
      </c>
      <c r="L30" s="39">
        <v>-8123</v>
      </c>
      <c r="M30" s="39">
        <v>-9251</v>
      </c>
      <c r="N30" s="39">
        <v>-9336</v>
      </c>
    </row>
    <row r="31" spans="2:14" x14ac:dyDescent="0.3">
      <c r="B31" t="s">
        <v>152</v>
      </c>
      <c r="C31" s="39">
        <v>-1503</v>
      </c>
      <c r="D31" s="39">
        <v>-1551</v>
      </c>
      <c r="E31">
        <v>-722</v>
      </c>
      <c r="F31">
        <v>-720</v>
      </c>
      <c r="G31">
        <v>-108</v>
      </c>
      <c r="H31">
        <v>-121</v>
      </c>
      <c r="I31">
        <v>-96</v>
      </c>
      <c r="J31">
        <v>-95</v>
      </c>
      <c r="K31">
        <v>-57</v>
      </c>
      <c r="L31">
        <v>-30</v>
      </c>
      <c r="M31">
        <v>-100</v>
      </c>
      <c r="N31">
        <v>-141</v>
      </c>
    </row>
    <row r="32" spans="2:14" x14ac:dyDescent="0.3">
      <c r="B32" t="s">
        <v>153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39">
        <v>-1346</v>
      </c>
      <c r="L32" s="39">
        <v>-1477</v>
      </c>
      <c r="M32" s="39">
        <v>-1559</v>
      </c>
      <c r="N32" s="39">
        <v>-1517</v>
      </c>
    </row>
    <row r="33" spans="2:14" x14ac:dyDescent="0.3">
      <c r="B33" t="s">
        <v>154</v>
      </c>
      <c r="C33" s="39">
        <v>-1147</v>
      </c>
      <c r="D33" s="39">
        <v>-2849</v>
      </c>
      <c r="E33">
        <v>-450</v>
      </c>
      <c r="F33">
        <v>-57</v>
      </c>
      <c r="G33">
        <v>0</v>
      </c>
      <c r="H33">
        <v>0</v>
      </c>
      <c r="I33">
        <v>0</v>
      </c>
      <c r="J33">
        <v>0</v>
      </c>
      <c r="K33">
        <v>-29</v>
      </c>
      <c r="L33">
        <v>0</v>
      </c>
      <c r="M33" s="39">
        <v>3750</v>
      </c>
      <c r="N33" s="39">
        <v>3355</v>
      </c>
    </row>
    <row r="34" spans="2:14" x14ac:dyDescent="0.3">
      <c r="B34" t="s">
        <v>35</v>
      </c>
      <c r="C34" s="39">
        <v>5488</v>
      </c>
      <c r="D34" s="39">
        <v>-2499</v>
      </c>
      <c r="E34" s="39">
        <v>4277</v>
      </c>
      <c r="F34" s="39">
        <v>4500</v>
      </c>
      <c r="G34" s="39">
        <v>-2589</v>
      </c>
      <c r="H34" s="39">
        <v>-3167</v>
      </c>
      <c r="I34">
        <v>730</v>
      </c>
      <c r="J34" s="39">
        <v>6843</v>
      </c>
      <c r="K34" s="39">
        <v>-3092</v>
      </c>
      <c r="L34" s="39">
        <v>13232</v>
      </c>
      <c r="M34" s="39">
        <v>6459</v>
      </c>
      <c r="N34" s="39">
        <v>-6272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TATA MOTORS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44377</v>
      </c>
      <c r="C3" s="12">
        <f>'Data Sheet'!C41</f>
        <v>44469</v>
      </c>
      <c r="D3" s="12">
        <f>'Data Sheet'!D41</f>
        <v>44561</v>
      </c>
      <c r="E3" s="12">
        <f>'Data Sheet'!E41</f>
        <v>44651</v>
      </c>
      <c r="F3" s="12">
        <f>'Data Sheet'!F41</f>
        <v>44742</v>
      </c>
      <c r="G3" s="12">
        <f>'Data Sheet'!G41</f>
        <v>44834</v>
      </c>
      <c r="H3" s="12">
        <f>'Data Sheet'!H41</f>
        <v>44926</v>
      </c>
      <c r="I3" s="12">
        <f>'Data Sheet'!I41</f>
        <v>45016</v>
      </c>
      <c r="J3" s="12">
        <f>'Data Sheet'!J41</f>
        <v>45107</v>
      </c>
      <c r="K3" s="12">
        <f>'Data Sheet'!K41</f>
        <v>45199</v>
      </c>
    </row>
    <row r="4" spans="1:11" s="2" customFormat="1" x14ac:dyDescent="0.3">
      <c r="A4" s="2" t="s">
        <v>6</v>
      </c>
      <c r="B4" s="1">
        <f>'Data Sheet'!B42</f>
        <v>66406.45</v>
      </c>
      <c r="C4" s="1">
        <f>'Data Sheet'!C42</f>
        <v>61378.82</v>
      </c>
      <c r="D4" s="1">
        <f>'Data Sheet'!D42</f>
        <v>72229.289999999994</v>
      </c>
      <c r="E4" s="1">
        <f>'Data Sheet'!E42</f>
        <v>78439.06</v>
      </c>
      <c r="F4" s="1">
        <f>'Data Sheet'!F42</f>
        <v>71934.66</v>
      </c>
      <c r="G4" s="1">
        <f>'Data Sheet'!G42</f>
        <v>79611.37</v>
      </c>
      <c r="H4" s="1">
        <f>'Data Sheet'!H42</f>
        <v>88488.59</v>
      </c>
      <c r="I4" s="1">
        <f>'Data Sheet'!I42</f>
        <v>105932.35</v>
      </c>
      <c r="J4" s="1">
        <f>'Data Sheet'!J42</f>
        <v>102236.08</v>
      </c>
      <c r="K4" s="1">
        <f>'Data Sheet'!K42</f>
        <v>105128.24</v>
      </c>
    </row>
    <row r="5" spans="1:11" x14ac:dyDescent="0.3">
      <c r="A5" t="s">
        <v>7</v>
      </c>
      <c r="B5" s="6">
        <f>'Data Sheet'!B43</f>
        <v>61163.78</v>
      </c>
      <c r="C5" s="6">
        <f>'Data Sheet'!C43</f>
        <v>57262.21</v>
      </c>
      <c r="D5" s="6">
        <f>'Data Sheet'!D43</f>
        <v>65151.27</v>
      </c>
      <c r="E5" s="6">
        <f>'Data Sheet'!E43</f>
        <v>70156.27</v>
      </c>
      <c r="F5" s="6">
        <f>'Data Sheet'!F43</f>
        <v>69521.929999999993</v>
      </c>
      <c r="G5" s="6">
        <f>'Data Sheet'!G43</f>
        <v>74039.06</v>
      </c>
      <c r="H5" s="6">
        <f>'Data Sheet'!H43</f>
        <v>77668.350000000006</v>
      </c>
      <c r="I5" s="6">
        <f>'Data Sheet'!I43</f>
        <v>92817.95</v>
      </c>
      <c r="J5" s="6">
        <f>'Data Sheet'!J43</f>
        <v>89018.36</v>
      </c>
      <c r="K5" s="6">
        <f>'Data Sheet'!K43</f>
        <v>91361.3</v>
      </c>
    </row>
    <row r="6" spans="1:11" s="2" customFormat="1" x14ac:dyDescent="0.3">
      <c r="A6" s="2" t="s">
        <v>8</v>
      </c>
      <c r="B6" s="1">
        <f>'Data Sheet'!B50</f>
        <v>5242.67</v>
      </c>
      <c r="C6" s="1">
        <f>'Data Sheet'!C50</f>
        <v>4116.6099999999997</v>
      </c>
      <c r="D6" s="1">
        <f>'Data Sheet'!D50</f>
        <v>7078.02</v>
      </c>
      <c r="E6" s="1">
        <f>'Data Sheet'!E50</f>
        <v>8282.7900000000009</v>
      </c>
      <c r="F6" s="1">
        <f>'Data Sheet'!F50</f>
        <v>2412.73</v>
      </c>
      <c r="G6" s="1">
        <f>'Data Sheet'!G50</f>
        <v>5572.31</v>
      </c>
      <c r="H6" s="1">
        <f>'Data Sheet'!H50</f>
        <v>10820.24</v>
      </c>
      <c r="I6" s="1">
        <f>'Data Sheet'!I50</f>
        <v>13114.4</v>
      </c>
      <c r="J6" s="1">
        <f>'Data Sheet'!J50</f>
        <v>13217.72</v>
      </c>
      <c r="K6" s="1">
        <f>'Data Sheet'!K50</f>
        <v>13766.94</v>
      </c>
    </row>
    <row r="7" spans="1:11" x14ac:dyDescent="0.3">
      <c r="A7" t="s">
        <v>9</v>
      </c>
      <c r="B7" s="6">
        <f>'Data Sheet'!B44</f>
        <v>584.12</v>
      </c>
      <c r="C7" s="6">
        <f>'Data Sheet'!C44</f>
        <v>862.46</v>
      </c>
      <c r="D7" s="6">
        <f>'Data Sheet'!D44</f>
        <v>788.73</v>
      </c>
      <c r="E7" s="6">
        <f>'Data Sheet'!E44</f>
        <v>188.74</v>
      </c>
      <c r="F7" s="6">
        <f>'Data Sheet'!F44</f>
        <v>2380.98</v>
      </c>
      <c r="G7" s="6">
        <f>'Data Sheet'!G44</f>
        <v>1351.14</v>
      </c>
      <c r="H7" s="6">
        <f>'Data Sheet'!H44</f>
        <v>1129.98</v>
      </c>
      <c r="I7" s="6">
        <f>'Data Sheet'!I44</f>
        <v>1361.61</v>
      </c>
      <c r="J7" s="6">
        <f>'Data Sheet'!J44</f>
        <v>683.56</v>
      </c>
      <c r="K7" s="6">
        <f>'Data Sheet'!K44</f>
        <v>1507.05</v>
      </c>
    </row>
    <row r="8" spans="1:11" x14ac:dyDescent="0.3">
      <c r="A8" t="s">
        <v>10</v>
      </c>
      <c r="B8" s="6">
        <f>'Data Sheet'!B45</f>
        <v>6202.13</v>
      </c>
      <c r="C8" s="6">
        <f>'Data Sheet'!C45</f>
        <v>6123.32</v>
      </c>
      <c r="D8" s="6">
        <f>'Data Sheet'!D45</f>
        <v>6078.13</v>
      </c>
      <c r="E8" s="6">
        <f>'Data Sheet'!E45</f>
        <v>6432.11</v>
      </c>
      <c r="F8" s="6">
        <f>'Data Sheet'!F45</f>
        <v>5841.04</v>
      </c>
      <c r="G8" s="6">
        <f>'Data Sheet'!G45</f>
        <v>5897.34</v>
      </c>
      <c r="H8" s="6">
        <f>'Data Sheet'!H45</f>
        <v>6071.78</v>
      </c>
      <c r="I8" s="6">
        <f>'Data Sheet'!I45</f>
        <v>7050.2</v>
      </c>
      <c r="J8" s="6">
        <f>'Data Sheet'!J45</f>
        <v>6633.18</v>
      </c>
      <c r="K8" s="6">
        <f>'Data Sheet'!K45</f>
        <v>6636.42</v>
      </c>
    </row>
    <row r="9" spans="1:11" x14ac:dyDescent="0.3">
      <c r="A9" t="s">
        <v>11</v>
      </c>
      <c r="B9" s="6">
        <f>'Data Sheet'!B46</f>
        <v>2203.3000000000002</v>
      </c>
      <c r="C9" s="6">
        <f>'Data Sheet'!C46</f>
        <v>2327.3000000000002</v>
      </c>
      <c r="D9" s="6">
        <f>'Data Sheet'!D46</f>
        <v>2400.7399999999998</v>
      </c>
      <c r="E9" s="6">
        <f>'Data Sheet'!E46</f>
        <v>2380.52</v>
      </c>
      <c r="F9" s="6">
        <f>'Data Sheet'!F46</f>
        <v>2420.7199999999998</v>
      </c>
      <c r="G9" s="6">
        <f>'Data Sheet'!G46</f>
        <v>2487.2600000000002</v>
      </c>
      <c r="H9" s="6">
        <f>'Data Sheet'!H46</f>
        <v>2675.83</v>
      </c>
      <c r="I9" s="6">
        <f>'Data Sheet'!I46</f>
        <v>2641.67</v>
      </c>
      <c r="J9" s="6">
        <f>'Data Sheet'!J46</f>
        <v>2615.39</v>
      </c>
      <c r="K9" s="6">
        <f>'Data Sheet'!K46</f>
        <v>2651.69</v>
      </c>
    </row>
    <row r="10" spans="1:11" x14ac:dyDescent="0.3">
      <c r="A10" t="s">
        <v>12</v>
      </c>
      <c r="B10" s="6">
        <f>'Data Sheet'!B47</f>
        <v>-2578.64</v>
      </c>
      <c r="C10" s="6">
        <f>'Data Sheet'!C47</f>
        <v>-3471.55</v>
      </c>
      <c r="D10" s="6">
        <f>'Data Sheet'!D47</f>
        <v>-612.12</v>
      </c>
      <c r="E10" s="6">
        <f>'Data Sheet'!E47</f>
        <v>-341.1</v>
      </c>
      <c r="F10" s="6">
        <f>'Data Sheet'!F47</f>
        <v>-3468.05</v>
      </c>
      <c r="G10" s="6">
        <f>'Data Sheet'!G47</f>
        <v>-1461.15</v>
      </c>
      <c r="H10" s="6">
        <f>'Data Sheet'!H47</f>
        <v>3202.61</v>
      </c>
      <c r="I10" s="6">
        <f>'Data Sheet'!I47</f>
        <v>4784.1400000000003</v>
      </c>
      <c r="J10" s="6">
        <f>'Data Sheet'!J47</f>
        <v>4652.71</v>
      </c>
      <c r="K10" s="6">
        <f>'Data Sheet'!K47</f>
        <v>5985.88</v>
      </c>
    </row>
    <row r="11" spans="1:11" x14ac:dyDescent="0.3">
      <c r="A11" t="s">
        <v>13</v>
      </c>
      <c r="B11" s="6">
        <f>'Data Sheet'!B48</f>
        <v>1741.96</v>
      </c>
      <c r="C11" s="6">
        <f>'Data Sheet'!C48</f>
        <v>1005.06</v>
      </c>
      <c r="D11" s="6">
        <f>'Data Sheet'!D48</f>
        <v>726.05</v>
      </c>
      <c r="E11" s="6">
        <f>'Data Sheet'!E48</f>
        <v>758.22</v>
      </c>
      <c r="F11" s="6">
        <f>'Data Sheet'!F48</f>
        <v>1518.96</v>
      </c>
      <c r="G11" s="6">
        <f>'Data Sheet'!G48</f>
        <v>-457.08</v>
      </c>
      <c r="H11" s="6">
        <f>'Data Sheet'!H48</f>
        <v>262.83</v>
      </c>
      <c r="I11" s="6">
        <f>'Data Sheet'!I48</f>
        <v>-620.65</v>
      </c>
      <c r="J11" s="6">
        <f>'Data Sheet'!J48</f>
        <v>1563.01</v>
      </c>
      <c r="K11" s="6">
        <f>'Data Sheet'!K48</f>
        <v>2202.84</v>
      </c>
    </row>
    <row r="12" spans="1:11" s="2" customFormat="1" x14ac:dyDescent="0.3">
      <c r="A12" s="2" t="s">
        <v>14</v>
      </c>
      <c r="B12" s="1">
        <f>'Data Sheet'!B49</f>
        <v>-4450.92</v>
      </c>
      <c r="C12" s="1">
        <f>'Data Sheet'!C49</f>
        <v>-4441.57</v>
      </c>
      <c r="D12" s="1">
        <f>'Data Sheet'!D49</f>
        <v>-1516.14</v>
      </c>
      <c r="E12" s="1">
        <f>'Data Sheet'!E49</f>
        <v>-1032.8399999999999</v>
      </c>
      <c r="F12" s="1">
        <f>'Data Sheet'!F49</f>
        <v>-5006.6000000000004</v>
      </c>
      <c r="G12" s="1">
        <f>'Data Sheet'!G49</f>
        <v>-944.61</v>
      </c>
      <c r="H12" s="1">
        <f>'Data Sheet'!H49</f>
        <v>2957.71</v>
      </c>
      <c r="I12" s="1">
        <f>'Data Sheet'!I49</f>
        <v>5407.79</v>
      </c>
      <c r="J12" s="1">
        <f>'Data Sheet'!J49</f>
        <v>3202.8</v>
      </c>
      <c r="K12" s="1">
        <f>'Data Sheet'!K49</f>
        <v>3764</v>
      </c>
    </row>
    <row r="14" spans="1:11" s="2" customFormat="1" x14ac:dyDescent="0.3">
      <c r="A14" s="2" t="s">
        <v>18</v>
      </c>
      <c r="B14" s="10">
        <f>IF(B4&gt;0,B6/B4,"")</f>
        <v>7.8948204579525033E-2</v>
      </c>
      <c r="C14" s="10">
        <f t="shared" ref="C14:K14" si="0">IF(C4&gt;0,C6/C4,"")</f>
        <v>6.70689009661639E-2</v>
      </c>
      <c r="D14" s="10">
        <f t="shared" si="0"/>
        <v>9.7993764025646676E-2</v>
      </c>
      <c r="E14" s="10">
        <f t="shared" si="0"/>
        <v>0.10559522258425842</v>
      </c>
      <c r="F14" s="10">
        <f t="shared" si="0"/>
        <v>3.3540576962482339E-2</v>
      </c>
      <c r="G14" s="10">
        <f t="shared" si="0"/>
        <v>6.9993896600447914E-2</v>
      </c>
      <c r="H14" s="10">
        <f t="shared" si="0"/>
        <v>0.12227836379808968</v>
      </c>
      <c r="I14" s="10">
        <f t="shared" si="0"/>
        <v>0.1237997646611257</v>
      </c>
      <c r="J14" s="10">
        <f t="shared" si="0"/>
        <v>0.12928625588931031</v>
      </c>
      <c r="K14" s="10">
        <f t="shared" si="0"/>
        <v>0.1309537760738694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TATA MOTORS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41729</v>
      </c>
      <c r="C3" s="12">
        <f>'Data Sheet'!C56</f>
        <v>42094</v>
      </c>
      <c r="D3" s="12">
        <f>'Data Sheet'!D56</f>
        <v>42460</v>
      </c>
      <c r="E3" s="12">
        <f>'Data Sheet'!E56</f>
        <v>42825</v>
      </c>
      <c r="F3" s="12">
        <f>'Data Sheet'!F56</f>
        <v>43190</v>
      </c>
      <c r="G3" s="12">
        <f>'Data Sheet'!G56</f>
        <v>43555</v>
      </c>
      <c r="H3" s="12">
        <f>'Data Sheet'!H56</f>
        <v>43921</v>
      </c>
      <c r="I3" s="12">
        <f>'Data Sheet'!I56</f>
        <v>44286</v>
      </c>
      <c r="J3" s="12">
        <f>'Data Sheet'!J56</f>
        <v>44651</v>
      </c>
      <c r="K3" s="12">
        <f>'Data Sheet'!K56</f>
        <v>45016</v>
      </c>
    </row>
    <row r="4" spans="1:11" x14ac:dyDescent="0.3">
      <c r="A4" t="s">
        <v>24</v>
      </c>
      <c r="B4" s="14">
        <f>'Data Sheet'!B57</f>
        <v>643.78</v>
      </c>
      <c r="C4" s="14">
        <f>'Data Sheet'!C57</f>
        <v>643.78</v>
      </c>
      <c r="D4" s="14">
        <f>'Data Sheet'!D57</f>
        <v>679.18</v>
      </c>
      <c r="E4" s="14">
        <f>'Data Sheet'!E57</f>
        <v>679.22</v>
      </c>
      <c r="F4" s="14">
        <f>'Data Sheet'!F57</f>
        <v>679.22</v>
      </c>
      <c r="G4" s="14">
        <f>'Data Sheet'!G57</f>
        <v>679.22</v>
      </c>
      <c r="H4" s="14">
        <f>'Data Sheet'!H57</f>
        <v>719.54</v>
      </c>
      <c r="I4" s="14">
        <f>'Data Sheet'!I57</f>
        <v>765.81</v>
      </c>
      <c r="J4" s="14">
        <f>'Data Sheet'!J57</f>
        <v>765.88</v>
      </c>
      <c r="K4" s="14">
        <f>'Data Sheet'!K57</f>
        <v>766.02</v>
      </c>
    </row>
    <row r="5" spans="1:11" x14ac:dyDescent="0.3">
      <c r="A5" t="s">
        <v>25</v>
      </c>
      <c r="B5" s="14">
        <f>'Data Sheet'!B58</f>
        <v>64959.67</v>
      </c>
      <c r="C5" s="14">
        <f>'Data Sheet'!C58</f>
        <v>55618.14</v>
      </c>
      <c r="D5" s="14">
        <f>'Data Sheet'!D58</f>
        <v>78273.23</v>
      </c>
      <c r="E5" s="14">
        <f>'Data Sheet'!E58</f>
        <v>57382.67</v>
      </c>
      <c r="F5" s="14">
        <f>'Data Sheet'!F58</f>
        <v>94748.69</v>
      </c>
      <c r="G5" s="14">
        <f>'Data Sheet'!G58</f>
        <v>59500.34</v>
      </c>
      <c r="H5" s="14">
        <f>'Data Sheet'!H58</f>
        <v>61491.49</v>
      </c>
      <c r="I5" s="14">
        <f>'Data Sheet'!I58</f>
        <v>54480.91</v>
      </c>
      <c r="J5" s="14">
        <f>'Data Sheet'!J58</f>
        <v>43795.360000000001</v>
      </c>
      <c r="K5" s="14">
        <f>'Data Sheet'!K58</f>
        <v>44555.77</v>
      </c>
    </row>
    <row r="6" spans="1:11" x14ac:dyDescent="0.3">
      <c r="A6" t="s">
        <v>71</v>
      </c>
      <c r="B6" s="14">
        <f>'Data Sheet'!B59</f>
        <v>60642.28</v>
      </c>
      <c r="C6" s="14">
        <f>'Data Sheet'!C59</f>
        <v>73610.39</v>
      </c>
      <c r="D6" s="14">
        <f>'Data Sheet'!D59</f>
        <v>69359.960000000006</v>
      </c>
      <c r="E6" s="14">
        <f>'Data Sheet'!E59</f>
        <v>78603.98</v>
      </c>
      <c r="F6" s="14">
        <f>'Data Sheet'!F59</f>
        <v>88950.47</v>
      </c>
      <c r="G6" s="14">
        <f>'Data Sheet'!G59</f>
        <v>106175.34</v>
      </c>
      <c r="H6" s="14">
        <f>'Data Sheet'!H59</f>
        <v>124787.64</v>
      </c>
      <c r="I6" s="14">
        <f>'Data Sheet'!I59</f>
        <v>142130.57</v>
      </c>
      <c r="J6" s="14">
        <f>'Data Sheet'!J59</f>
        <v>146449.03</v>
      </c>
      <c r="K6" s="14">
        <f>'Data Sheet'!K59</f>
        <v>134113.44</v>
      </c>
    </row>
    <row r="7" spans="1:11" x14ac:dyDescent="0.3">
      <c r="A7" t="s">
        <v>72</v>
      </c>
      <c r="B7" s="14">
        <f>'Data Sheet'!B60</f>
        <v>92180.26</v>
      </c>
      <c r="C7" s="14">
        <f>'Data Sheet'!C60</f>
        <v>107442.48</v>
      </c>
      <c r="D7" s="14">
        <f>'Data Sheet'!D60</f>
        <v>114871.75</v>
      </c>
      <c r="E7" s="14">
        <f>'Data Sheet'!E60</f>
        <v>135914.49</v>
      </c>
      <c r="F7" s="14">
        <f>'Data Sheet'!F60</f>
        <v>142813.43</v>
      </c>
      <c r="G7" s="14">
        <f>'Data Sheet'!G60</f>
        <v>139348.59</v>
      </c>
      <c r="H7" s="14">
        <f>'Data Sheet'!H60</f>
        <v>133180.72</v>
      </c>
      <c r="I7" s="14">
        <f>'Data Sheet'!I60</f>
        <v>144192.62</v>
      </c>
      <c r="J7" s="14">
        <f>'Data Sheet'!J60</f>
        <v>138051.22</v>
      </c>
      <c r="K7" s="14">
        <f>'Data Sheet'!K60</f>
        <v>155239.20000000001</v>
      </c>
    </row>
    <row r="8" spans="1:11" s="2" customFormat="1" x14ac:dyDescent="0.3">
      <c r="A8" s="2" t="s">
        <v>26</v>
      </c>
      <c r="B8" s="15">
        <f>'Data Sheet'!B61</f>
        <v>218425.99</v>
      </c>
      <c r="C8" s="15">
        <f>'Data Sheet'!C61</f>
        <v>237314.79</v>
      </c>
      <c r="D8" s="15">
        <f>'Data Sheet'!D61</f>
        <v>263184.12</v>
      </c>
      <c r="E8" s="15">
        <f>'Data Sheet'!E61</f>
        <v>272580.36</v>
      </c>
      <c r="F8" s="15">
        <f>'Data Sheet'!F61</f>
        <v>327191.81</v>
      </c>
      <c r="G8" s="15">
        <f>'Data Sheet'!G61</f>
        <v>305703.49</v>
      </c>
      <c r="H8" s="15">
        <f>'Data Sheet'!H61</f>
        <v>320179.39</v>
      </c>
      <c r="I8" s="15">
        <f>'Data Sheet'!I61</f>
        <v>341569.91</v>
      </c>
      <c r="J8" s="15">
        <f>'Data Sheet'!J61</f>
        <v>329061.49</v>
      </c>
      <c r="K8" s="15">
        <f>'Data Sheet'!K61</f>
        <v>334674.43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69091.67</v>
      </c>
      <c r="C10" s="14">
        <f>'Data Sheet'!C62</f>
        <v>88479.49</v>
      </c>
      <c r="D10" s="14">
        <f>'Data Sheet'!D62</f>
        <v>107231.76</v>
      </c>
      <c r="E10" s="14">
        <f>'Data Sheet'!E62</f>
        <v>95944.08</v>
      </c>
      <c r="F10" s="14">
        <f>'Data Sheet'!F62</f>
        <v>121413.86</v>
      </c>
      <c r="G10" s="14">
        <f>'Data Sheet'!G62</f>
        <v>111234.47</v>
      </c>
      <c r="H10" s="14">
        <f>'Data Sheet'!H62</f>
        <v>127107.14</v>
      </c>
      <c r="I10" s="14">
        <f>'Data Sheet'!I62</f>
        <v>138707.60999999999</v>
      </c>
      <c r="J10" s="14">
        <f>'Data Sheet'!J62</f>
        <v>138855.45000000001</v>
      </c>
      <c r="K10" s="14">
        <f>'Data Sheet'!K62</f>
        <v>132079.76</v>
      </c>
    </row>
    <row r="11" spans="1:11" x14ac:dyDescent="0.3">
      <c r="A11" t="s">
        <v>28</v>
      </c>
      <c r="B11" s="14">
        <f>'Data Sheet'!B63</f>
        <v>33262.559999999998</v>
      </c>
      <c r="C11" s="14">
        <f>'Data Sheet'!C63</f>
        <v>28640.09</v>
      </c>
      <c r="D11" s="14">
        <f>'Data Sheet'!D63</f>
        <v>25918.94</v>
      </c>
      <c r="E11" s="14">
        <f>'Data Sheet'!E63</f>
        <v>33698.839999999997</v>
      </c>
      <c r="F11" s="14">
        <f>'Data Sheet'!F63</f>
        <v>40033.5</v>
      </c>
      <c r="G11" s="14">
        <f>'Data Sheet'!G63</f>
        <v>31883.84</v>
      </c>
      <c r="H11" s="14">
        <f>'Data Sheet'!H63</f>
        <v>35622.29</v>
      </c>
      <c r="I11" s="14">
        <f>'Data Sheet'!I63</f>
        <v>20963.93</v>
      </c>
      <c r="J11" s="14">
        <f>'Data Sheet'!J63</f>
        <v>10251.09</v>
      </c>
      <c r="K11" s="14">
        <f>'Data Sheet'!K63</f>
        <v>14274.5</v>
      </c>
    </row>
    <row r="12" spans="1:11" x14ac:dyDescent="0.3">
      <c r="A12" t="s">
        <v>29</v>
      </c>
      <c r="B12" s="14">
        <f>'Data Sheet'!B64</f>
        <v>10686.67</v>
      </c>
      <c r="C12" s="14">
        <f>'Data Sheet'!C64</f>
        <v>15336.74</v>
      </c>
      <c r="D12" s="14">
        <f>'Data Sheet'!D64</f>
        <v>23767.02</v>
      </c>
      <c r="E12" s="14">
        <f>'Data Sheet'!E64</f>
        <v>20337.919999999998</v>
      </c>
      <c r="F12" s="14">
        <f>'Data Sheet'!F64</f>
        <v>20812.75</v>
      </c>
      <c r="G12" s="14">
        <f>'Data Sheet'!G64</f>
        <v>15770.72</v>
      </c>
      <c r="H12" s="14">
        <f>'Data Sheet'!H64</f>
        <v>16308.48</v>
      </c>
      <c r="I12" s="14">
        <f>'Data Sheet'!I64</f>
        <v>24620.28</v>
      </c>
      <c r="J12" s="14">
        <f>'Data Sheet'!J64</f>
        <v>29379.53</v>
      </c>
      <c r="K12" s="14">
        <f>'Data Sheet'!K64</f>
        <v>26379.16</v>
      </c>
    </row>
    <row r="13" spans="1:11" x14ac:dyDescent="0.3">
      <c r="A13" t="s">
        <v>73</v>
      </c>
      <c r="B13" s="14">
        <f>'Data Sheet'!B65</f>
        <v>105385.09</v>
      </c>
      <c r="C13" s="14">
        <f>'Data Sheet'!C65</f>
        <v>104858.47</v>
      </c>
      <c r="D13" s="14">
        <f>'Data Sheet'!D65</f>
        <v>106266.4</v>
      </c>
      <c r="E13" s="14">
        <f>'Data Sheet'!E65</f>
        <v>122599.52</v>
      </c>
      <c r="F13" s="14">
        <f>'Data Sheet'!F65</f>
        <v>144931.70000000001</v>
      </c>
      <c r="G13" s="14">
        <f>'Data Sheet'!G65</f>
        <v>146814.46</v>
      </c>
      <c r="H13" s="14">
        <f>'Data Sheet'!H65</f>
        <v>141141.48000000001</v>
      </c>
      <c r="I13" s="14">
        <f>'Data Sheet'!I65</f>
        <v>157278.09</v>
      </c>
      <c r="J13" s="14">
        <f>'Data Sheet'!J65</f>
        <v>150575.42000000001</v>
      </c>
      <c r="K13" s="14">
        <f>'Data Sheet'!K65</f>
        <v>161941.01</v>
      </c>
    </row>
    <row r="14" spans="1:11" s="2" customFormat="1" x14ac:dyDescent="0.3">
      <c r="A14" s="2" t="s">
        <v>26</v>
      </c>
      <c r="B14" s="14">
        <f>'Data Sheet'!B66</f>
        <v>218425.99</v>
      </c>
      <c r="C14" s="14">
        <f>'Data Sheet'!C66</f>
        <v>237314.79</v>
      </c>
      <c r="D14" s="14">
        <f>'Data Sheet'!D66</f>
        <v>263184.12</v>
      </c>
      <c r="E14" s="14">
        <f>'Data Sheet'!E66</f>
        <v>272580.36</v>
      </c>
      <c r="F14" s="14">
        <f>'Data Sheet'!F66</f>
        <v>327191.81</v>
      </c>
      <c r="G14" s="14">
        <f>'Data Sheet'!G66</f>
        <v>305703.49</v>
      </c>
      <c r="H14" s="14">
        <f>'Data Sheet'!H66</f>
        <v>320179.39</v>
      </c>
      <c r="I14" s="14">
        <f>'Data Sheet'!I66</f>
        <v>341569.91</v>
      </c>
      <c r="J14" s="14">
        <f>'Data Sheet'!J66</f>
        <v>329061.49</v>
      </c>
      <c r="K14" s="14">
        <f>'Data Sheet'!K66</f>
        <v>334674.43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13204.830000000002</v>
      </c>
      <c r="C16" s="4">
        <f t="shared" ref="C16:K16" si="0">C13-C7</f>
        <v>-2584.0099999999948</v>
      </c>
      <c r="D16" s="4">
        <f t="shared" si="0"/>
        <v>-8605.3500000000058</v>
      </c>
      <c r="E16" s="4">
        <f t="shared" si="0"/>
        <v>-13314.969999999987</v>
      </c>
      <c r="F16" s="4">
        <f t="shared" si="0"/>
        <v>2118.2700000000186</v>
      </c>
      <c r="G16" s="4">
        <f t="shared" si="0"/>
        <v>7465.8699999999953</v>
      </c>
      <c r="H16" s="4">
        <f t="shared" si="0"/>
        <v>7960.7600000000093</v>
      </c>
      <c r="I16" s="4">
        <f t="shared" si="0"/>
        <v>13085.470000000001</v>
      </c>
      <c r="J16" s="4">
        <f t="shared" si="0"/>
        <v>12524.200000000012</v>
      </c>
      <c r="K16" s="4">
        <f t="shared" si="0"/>
        <v>6701.8099999999977</v>
      </c>
    </row>
    <row r="17" spans="1:11" x14ac:dyDescent="0.3">
      <c r="A17" t="s">
        <v>44</v>
      </c>
      <c r="B17" s="4">
        <f>'Data Sheet'!B67</f>
        <v>10574.23</v>
      </c>
      <c r="C17" s="4">
        <f>'Data Sheet'!C67</f>
        <v>12579.2</v>
      </c>
      <c r="D17" s="4">
        <f>'Data Sheet'!D67</f>
        <v>13570.91</v>
      </c>
      <c r="E17" s="4">
        <f>'Data Sheet'!E67</f>
        <v>14075.55</v>
      </c>
      <c r="F17" s="4">
        <f>'Data Sheet'!F67</f>
        <v>19893.3</v>
      </c>
      <c r="G17" s="4">
        <f>'Data Sheet'!G67</f>
        <v>18996.169999999998</v>
      </c>
      <c r="H17" s="4">
        <f>'Data Sheet'!H67</f>
        <v>11172.69</v>
      </c>
      <c r="I17" s="4">
        <f>'Data Sheet'!I67</f>
        <v>12679.08</v>
      </c>
      <c r="J17" s="4">
        <f>'Data Sheet'!J67</f>
        <v>12442.12</v>
      </c>
      <c r="K17" s="4">
        <f>'Data Sheet'!K67</f>
        <v>15737.97</v>
      </c>
    </row>
    <row r="18" spans="1:11" x14ac:dyDescent="0.3">
      <c r="A18" t="s">
        <v>45</v>
      </c>
      <c r="B18" s="4">
        <f>'Data Sheet'!B68</f>
        <v>27270.89</v>
      </c>
      <c r="C18" s="4">
        <f>'Data Sheet'!C68</f>
        <v>29272.34</v>
      </c>
      <c r="D18" s="4">
        <f>'Data Sheet'!D68</f>
        <v>32655.73</v>
      </c>
      <c r="E18" s="4">
        <f>'Data Sheet'!E68</f>
        <v>35085.31</v>
      </c>
      <c r="F18" s="4">
        <f>'Data Sheet'!F68</f>
        <v>42137.63</v>
      </c>
      <c r="G18" s="4">
        <f>'Data Sheet'!G68</f>
        <v>39013.730000000003</v>
      </c>
      <c r="H18" s="4">
        <f>'Data Sheet'!H68</f>
        <v>37456.879999999997</v>
      </c>
      <c r="I18" s="4">
        <f>'Data Sheet'!I68</f>
        <v>36088.589999999997</v>
      </c>
      <c r="J18" s="4">
        <f>'Data Sheet'!J68</f>
        <v>35240.339999999997</v>
      </c>
      <c r="K18" s="4">
        <f>'Data Sheet'!K68</f>
        <v>40755.39</v>
      </c>
    </row>
    <row r="20" spans="1:11" x14ac:dyDescent="0.3">
      <c r="A20" t="s">
        <v>46</v>
      </c>
      <c r="B20" s="4">
        <f>IF('Profit &amp; Loss'!B4&gt;0,'Balance Sheet'!B17/('Profit &amp; Loss'!B4/365),0)</f>
        <v>16.576615039251628</v>
      </c>
      <c r="C20" s="4">
        <f>IF('Profit &amp; Loss'!C4&gt;0,'Balance Sheet'!C17/('Profit &amp; Loss'!C4/365),0)</f>
        <v>17.447278447423685</v>
      </c>
      <c r="D20" s="4">
        <f>IF('Profit &amp; Loss'!D4&gt;0,'Balance Sheet'!D17/('Profit &amp; Loss'!D4/365),0)</f>
        <v>18.141226776772818</v>
      </c>
      <c r="E20" s="4">
        <f>IF('Profit &amp; Loss'!E4&gt;0,'Balance Sheet'!E17/('Profit &amp; Loss'!E4/365),0)</f>
        <v>19.049753180019717</v>
      </c>
      <c r="F20" s="4">
        <f>IF('Profit &amp; Loss'!F4&gt;0,'Balance Sheet'!F17/('Profit &amp; Loss'!F4/365),0)</f>
        <v>24.904964999543132</v>
      </c>
      <c r="G20" s="4">
        <f>IF('Profit &amp; Loss'!G4&gt;0,'Balance Sheet'!G17/('Profit &amp; Loss'!G4/365),0)</f>
        <v>22.963631157878556</v>
      </c>
      <c r="H20" s="4">
        <f>IF('Profit &amp; Loss'!H4&gt;0,'Balance Sheet'!H17/('Profit &amp; Loss'!H4/365),0)</f>
        <v>15.62057517051977</v>
      </c>
      <c r="I20" s="4">
        <f>IF('Profit &amp; Loss'!I4&gt;0,'Balance Sheet'!I17/('Profit &amp; Loss'!I4/365),0)</f>
        <v>18.526667193766084</v>
      </c>
      <c r="J20" s="4">
        <f>IF('Profit &amp; Loss'!J4&gt;0,'Balance Sheet'!J17/('Profit &amp; Loss'!J4/365),0)</f>
        <v>16.309264717046958</v>
      </c>
      <c r="K20" s="4">
        <f>IF('Profit &amp; Loss'!K4&gt;0,'Balance Sheet'!K17/('Profit &amp; Loss'!K4/365),0)</f>
        <v>16.603778823163381</v>
      </c>
    </row>
    <row r="21" spans="1:11" x14ac:dyDescent="0.3">
      <c r="A21" t="s">
        <v>47</v>
      </c>
      <c r="B21" s="4">
        <f>IF('Balance Sheet'!B18&gt;0,'Profit &amp; Loss'!B4/'Balance Sheet'!B18,0)</f>
        <v>8.5378093637574715</v>
      </c>
      <c r="C21" s="4">
        <f>IF('Balance Sheet'!C18&gt;0,'Profit &amp; Loss'!C4/'Balance Sheet'!C18,0)</f>
        <v>8.9900219797938927</v>
      </c>
      <c r="D21" s="4">
        <f>IF('Balance Sheet'!D18&gt;0,'Profit &amp; Loss'!D4/'Balance Sheet'!D18,0)</f>
        <v>8.3613381173839922</v>
      </c>
      <c r="E21" s="4">
        <f>IF('Balance Sheet'!E18&gt;0,'Profit &amp; Loss'!E4/'Balance Sheet'!E18,0)</f>
        <v>7.6867643466738649</v>
      </c>
      <c r="F21" s="4">
        <f>IF('Balance Sheet'!F18&gt;0,'Profit &amp; Loss'!F4/'Balance Sheet'!F18,0)</f>
        <v>6.9190051742350009</v>
      </c>
      <c r="G21" s="4">
        <f>IF('Balance Sheet'!G18&gt;0,'Profit &amp; Loss'!G4/'Balance Sheet'!G18,0)</f>
        <v>7.7392856309817084</v>
      </c>
      <c r="H21" s="4">
        <f>IF('Balance Sheet'!H18&gt;0,'Profit &amp; Loss'!H4/'Balance Sheet'!H18,0)</f>
        <v>6.9698269049637886</v>
      </c>
      <c r="I21" s="4">
        <f>IF('Balance Sheet'!I18&gt;0,'Profit &amp; Loss'!I4/'Balance Sheet'!I18,0)</f>
        <v>6.9217098811563442</v>
      </c>
      <c r="J21" s="4">
        <f>IF('Balance Sheet'!J18&gt;0,'Profit &amp; Loss'!J4/'Balance Sheet'!J18,0)</f>
        <v>7.9015588385356104</v>
      </c>
      <c r="K21" s="4">
        <f>IF('Balance Sheet'!K18&gt;0,'Profit &amp; Loss'!K4/'Balance Sheet'!K18,0)</f>
        <v>8.4888641723217457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0.21326652790363923</v>
      </c>
      <c r="C23" s="10">
        <f>IF(SUM('Balance Sheet'!C4:C5)&gt;0,'Profit &amp; Loss'!C12/SUM('Balance Sheet'!C4:C5),"")</f>
        <v>0.24859247604774243</v>
      </c>
      <c r="D23" s="10">
        <f>IF(SUM('Balance Sheet'!D4:D5)&gt;0,'Profit &amp; Loss'!D12/SUM('Balance Sheet'!D4:D5),"")</f>
        <v>0.14666189417143824</v>
      </c>
      <c r="E23" s="10">
        <f>IF(SUM('Balance Sheet'!E4:E5)&gt;0,'Profit &amp; Loss'!E12/SUM('Balance Sheet'!E4:E5),"")</f>
        <v>0.1283864510783235</v>
      </c>
      <c r="F23" s="10">
        <f>IF(SUM('Balance Sheet'!F4:F5)&gt;0,'Profit &amp; Loss'!F12/SUM('Balance Sheet'!F4:F5),"")</f>
        <v>9.4195817554843228E-2</v>
      </c>
      <c r="G23" s="10">
        <f>IF(SUM('Balance Sheet'!G4:G5)&gt;0,'Profit &amp; Loss'!G12/SUM('Balance Sheet'!G4:G5),"")</f>
        <v>-0.47900366835516911</v>
      </c>
      <c r="H23" s="10">
        <f>IF(SUM('Balance Sheet'!H4:H5)&gt;0,'Profit &amp; Loss'!H12/SUM('Balance Sheet'!H4:H5),"")</f>
        <v>-0.19403070484446247</v>
      </c>
      <c r="I23" s="10">
        <f>IF(SUM('Balance Sheet'!I4:I5)&gt;0,'Profit &amp; Loss'!I12/SUM('Balance Sheet'!I4:I5),"")</f>
        <v>-0.24347852687001145</v>
      </c>
      <c r="J23" s="10">
        <f>IF(SUM('Balance Sheet'!J4:J5)&gt;0,'Profit &amp; Loss'!J12/SUM('Balance Sheet'!J4:J5),"")</f>
        <v>-0.25675833975894746</v>
      </c>
      <c r="K23" s="10">
        <f>IF(SUM('Balance Sheet'!K4:K5)&gt;0,'Profit &amp; Loss'!K12/SUM('Balance Sheet'!K4:K5),"")</f>
        <v>5.326996131441411E-2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0.20743599318501738</v>
      </c>
      <c r="D24" s="10">
        <f>IF((C4+C5+C6+D4+D5+D6)&gt;0,('Profit &amp; Loss'!D10+'Profit &amp; Loss'!D9)*2/(C4+C5+C6+D4+D5+D6),"")</f>
        <v>0.1367066655144345</v>
      </c>
      <c r="E24" s="10">
        <f>IF((D4+D5+D6+E4+E5+E6)&gt;0,('Profit &amp; Loss'!E10+'Profit &amp; Loss'!E9)*2/(D4+D5+D6+E4+E5+E6),"")</f>
        <v>9.5114630506525702E-2</v>
      </c>
      <c r="F24" s="10">
        <f>IF((E4+E5+E6+F4+F5+F6)&gt;0,('Profit &amp; Loss'!F10+'Profit &amp; Loss'!F9)*2/(E4+E5+E6+F4+F5+F6),"")</f>
        <v>9.8658175625322669E-2</v>
      </c>
      <c r="G24" s="10">
        <f>IF((F4+F5+F6+G4+G5+G6)&gt;0,('Profit &amp; Loss'!G10+'Profit &amp; Loss'!G9)*2/(F4+F5+F6+G4+G5+G6),"")</f>
        <v>-0.14605143828951733</v>
      </c>
      <c r="H24" s="10">
        <f>IF((G4+G5+G6+H4+H5+H6)&gt;0,('Profit &amp; Loss'!H10+'Profit &amp; Loss'!H9)*2/(G4+G5+G6+H4+H5+H6),"")</f>
        <v>-1.888561646624937E-2</v>
      </c>
      <c r="I24" s="10">
        <f>IF((H4+H5+H6+I4+I5+I6)&gt;0,('Profit &amp; Loss'!I10+'Profit &amp; Loss'!I9)*2/(H4+H5+H6+I4+I5+I6),"")</f>
        <v>-1.2368671547513017E-2</v>
      </c>
      <c r="J24" s="10">
        <f>IF((I4+I5+I6+J4+J5+J6)&gt;0,('Profit &amp; Loss'!J10+'Profit &amp; Loss'!J9)*2/(I4+I5+I6+J4+J5+J6),"")</f>
        <v>1.1887352931695343E-2</v>
      </c>
      <c r="K24" s="10">
        <f>IF((J4+J5+J6+K4+K5+K6)&gt;0,('Profit &amp; Loss'!K10+'Profit &amp; Loss'!K9)*2/(J4+J5+J6+K4+K5+K6),"")</f>
        <v>7.1713814852657126E-2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TATA MOTORS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41729</v>
      </c>
      <c r="C3" s="12">
        <f>'Data Sheet'!C81</f>
        <v>42094</v>
      </c>
      <c r="D3" s="12">
        <f>'Data Sheet'!D81</f>
        <v>42460</v>
      </c>
      <c r="E3" s="12">
        <f>'Data Sheet'!E81</f>
        <v>42825</v>
      </c>
      <c r="F3" s="12">
        <f>'Data Sheet'!F81</f>
        <v>43190</v>
      </c>
      <c r="G3" s="12">
        <f>'Data Sheet'!G81</f>
        <v>43555</v>
      </c>
      <c r="H3" s="12">
        <f>'Data Sheet'!H81</f>
        <v>43921</v>
      </c>
      <c r="I3" s="12">
        <f>'Data Sheet'!I81</f>
        <v>44286</v>
      </c>
      <c r="J3" s="12">
        <f>'Data Sheet'!J81</f>
        <v>44651</v>
      </c>
      <c r="K3" s="12">
        <f>'Data Sheet'!K81</f>
        <v>45016</v>
      </c>
    </row>
    <row r="4" spans="1:11" s="2" customFormat="1" x14ac:dyDescent="0.3">
      <c r="A4" s="2" t="s">
        <v>32</v>
      </c>
      <c r="B4" s="1">
        <f>'Data Sheet'!B82</f>
        <v>36151.160000000003</v>
      </c>
      <c r="C4" s="1">
        <f>'Data Sheet'!C82</f>
        <v>35531.26</v>
      </c>
      <c r="D4" s="1">
        <f>'Data Sheet'!D82</f>
        <v>37899.54</v>
      </c>
      <c r="E4" s="1">
        <f>'Data Sheet'!E82</f>
        <v>30199.25</v>
      </c>
      <c r="F4" s="1">
        <f>'Data Sheet'!F82</f>
        <v>23857.42</v>
      </c>
      <c r="G4" s="1">
        <f>'Data Sheet'!G82</f>
        <v>18890.75</v>
      </c>
      <c r="H4" s="1">
        <f>'Data Sheet'!H82</f>
        <v>26632.94</v>
      </c>
      <c r="I4" s="1">
        <f>'Data Sheet'!I82</f>
        <v>29000.51</v>
      </c>
      <c r="J4" s="1">
        <f>'Data Sheet'!J82</f>
        <v>14282.83</v>
      </c>
      <c r="K4" s="1">
        <f>'Data Sheet'!K82</f>
        <v>35388.01</v>
      </c>
    </row>
    <row r="5" spans="1:11" x14ac:dyDescent="0.3">
      <c r="A5" t="s">
        <v>33</v>
      </c>
      <c r="B5" s="6">
        <f>'Data Sheet'!B83</f>
        <v>-27990.91</v>
      </c>
      <c r="C5" s="6">
        <f>'Data Sheet'!C83</f>
        <v>-36232.35</v>
      </c>
      <c r="D5" s="6">
        <f>'Data Sheet'!D83</f>
        <v>-36693.9</v>
      </c>
      <c r="E5" s="6">
        <f>'Data Sheet'!E83</f>
        <v>-39571.4</v>
      </c>
      <c r="F5" s="6">
        <f>'Data Sheet'!F83</f>
        <v>-25139.14</v>
      </c>
      <c r="G5" s="6">
        <f>'Data Sheet'!G83</f>
        <v>-20878.07</v>
      </c>
      <c r="H5" s="6">
        <f>'Data Sheet'!H83</f>
        <v>-33114.550000000003</v>
      </c>
      <c r="I5" s="6">
        <f>'Data Sheet'!I83</f>
        <v>-25672.5</v>
      </c>
      <c r="J5" s="6">
        <f>'Data Sheet'!J83</f>
        <v>-4443.66</v>
      </c>
      <c r="K5" s="6">
        <f>'Data Sheet'!K83</f>
        <v>-15417.17</v>
      </c>
    </row>
    <row r="6" spans="1:11" x14ac:dyDescent="0.3">
      <c r="A6" t="s">
        <v>34</v>
      </c>
      <c r="B6" s="6">
        <f>'Data Sheet'!B84</f>
        <v>-3883.24</v>
      </c>
      <c r="C6" s="6">
        <f>'Data Sheet'!C84</f>
        <v>5201.4399999999996</v>
      </c>
      <c r="D6" s="6">
        <f>'Data Sheet'!D84</f>
        <v>-3795.12</v>
      </c>
      <c r="E6" s="6">
        <f>'Data Sheet'!E84</f>
        <v>6205.3</v>
      </c>
      <c r="F6" s="6">
        <f>'Data Sheet'!F84</f>
        <v>2011.71</v>
      </c>
      <c r="G6" s="6">
        <f>'Data Sheet'!G84</f>
        <v>8830.3700000000008</v>
      </c>
      <c r="H6" s="6">
        <f>'Data Sheet'!H84</f>
        <v>3389.61</v>
      </c>
      <c r="I6" s="6">
        <f>'Data Sheet'!I84</f>
        <v>9904.2000000000007</v>
      </c>
      <c r="J6" s="6">
        <f>'Data Sheet'!J84</f>
        <v>-3380.17</v>
      </c>
      <c r="K6" s="6">
        <f>'Data Sheet'!K84</f>
        <v>-26242.9</v>
      </c>
    </row>
    <row r="7" spans="1:11" s="2" customFormat="1" x14ac:dyDescent="0.3">
      <c r="A7" s="2" t="s">
        <v>35</v>
      </c>
      <c r="B7" s="1">
        <f>'Data Sheet'!B85</f>
        <v>4277.01</v>
      </c>
      <c r="C7" s="1">
        <f>'Data Sheet'!C85</f>
        <v>4500.3500000000004</v>
      </c>
      <c r="D7" s="1">
        <f>'Data Sheet'!D85</f>
        <v>-2589.48</v>
      </c>
      <c r="E7" s="1">
        <f>'Data Sheet'!E85</f>
        <v>-3166.85</v>
      </c>
      <c r="F7" s="1">
        <f>'Data Sheet'!F85</f>
        <v>729.99</v>
      </c>
      <c r="G7" s="1">
        <f>'Data Sheet'!G85</f>
        <v>6843.05</v>
      </c>
      <c r="H7" s="1">
        <f>'Data Sheet'!H85</f>
        <v>-3092</v>
      </c>
      <c r="I7" s="1">
        <f>'Data Sheet'!I85</f>
        <v>13232.21</v>
      </c>
      <c r="J7" s="1">
        <f>'Data Sheet'!J85</f>
        <v>6459</v>
      </c>
      <c r="K7" s="1">
        <f>'Data Sheet'!K85</f>
        <v>-6272.06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9C09-BE98-4CC1-8315-1651577BACCC}">
  <sheetPr>
    <tabColor rgb="FF002060"/>
  </sheetPr>
  <dimension ref="A1"/>
  <sheetViews>
    <sheetView workbookViewId="0">
      <selection activeCell="F18" sqref="F18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F1A9-AC82-4CF7-B854-CE1627BFE68E}">
  <dimension ref="A2:M122"/>
  <sheetViews>
    <sheetView showGridLines="0" zoomScale="90" zoomScaleNormal="90" workbookViewId="0">
      <pane ySplit="3" topLeftCell="A4" activePane="bottomLeft" state="frozen"/>
      <selection pane="bottomLeft" activeCell="C54" sqref="C54"/>
    </sheetView>
  </sheetViews>
  <sheetFormatPr defaultRowHeight="14.4" x14ac:dyDescent="0.3"/>
  <cols>
    <col min="1" max="1" width="1.88671875" customWidth="1"/>
    <col min="2" max="2" width="25" customWidth="1"/>
    <col min="3" max="3" width="23.109375" customWidth="1"/>
    <col min="4" max="5" width="18.77734375" bestFit="1" customWidth="1"/>
    <col min="6" max="6" width="19.33203125" customWidth="1"/>
    <col min="7" max="9" width="18.77734375" bestFit="1" customWidth="1"/>
    <col min="10" max="10" width="19.77734375" customWidth="1"/>
    <col min="11" max="11" width="21.6640625" customWidth="1"/>
    <col min="12" max="12" width="18" customWidth="1"/>
    <col min="13" max="13" width="15.44140625" customWidth="1"/>
  </cols>
  <sheetData>
    <row r="2" spans="1:13" x14ac:dyDescent="0.3">
      <c r="B2" s="40" t="str">
        <f>"Historical Financial Statements - "&amp;'Data Sheet'!B1</f>
        <v>Historical Financial Statements - TATA MOTORS LTD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x14ac:dyDescent="0.3">
      <c r="B3" s="25" t="s">
        <v>93</v>
      </c>
      <c r="C3" s="26">
        <f>'Data Sheet'!B16</f>
        <v>41729</v>
      </c>
      <c r="D3" s="26">
        <f>'Data Sheet'!C16</f>
        <v>42094</v>
      </c>
      <c r="E3" s="26">
        <f>'Data Sheet'!D16</f>
        <v>42460</v>
      </c>
      <c r="F3" s="26">
        <f>'Data Sheet'!E16</f>
        <v>42825</v>
      </c>
      <c r="G3" s="26">
        <f>'Data Sheet'!F16</f>
        <v>43190</v>
      </c>
      <c r="H3" s="26">
        <f>'Data Sheet'!G16</f>
        <v>43555</v>
      </c>
      <c r="I3" s="26">
        <f>'Data Sheet'!H16</f>
        <v>43921</v>
      </c>
      <c r="J3" s="26">
        <f>'Data Sheet'!I16</f>
        <v>44286</v>
      </c>
      <c r="K3" s="26">
        <f>'Data Sheet'!J16</f>
        <v>44651</v>
      </c>
      <c r="L3" s="26">
        <f>'Data Sheet'!K16</f>
        <v>45016</v>
      </c>
      <c r="M3" s="27" t="s">
        <v>94</v>
      </c>
    </row>
    <row r="4" spans="1:13" x14ac:dyDescent="0.3">
      <c r="A4" t="s">
        <v>96</v>
      </c>
      <c r="B4" s="34" t="s">
        <v>95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x14ac:dyDescent="0.3">
      <c r="B5" t="s">
        <v>6</v>
      </c>
      <c r="C5" s="28">
        <f>IFERROR('Data Sheet'!B17,0)</f>
        <v>232833.66</v>
      </c>
      <c r="D5" s="28">
        <f>IFERROR('Data Sheet'!C17,0)</f>
        <v>263158.98</v>
      </c>
      <c r="E5" s="28">
        <f>IFERROR('Data Sheet'!D17,0)</f>
        <v>273045.59999999998</v>
      </c>
      <c r="F5" s="28">
        <f>IFERROR('Data Sheet'!E17,0)</f>
        <v>269692.51</v>
      </c>
      <c r="G5" s="28">
        <f>IFERROR('Data Sheet'!F17,0)</f>
        <v>291550.48</v>
      </c>
      <c r="H5" s="28">
        <f>IFERROR('Data Sheet'!G17,0)</f>
        <v>301938.40000000002</v>
      </c>
      <c r="I5" s="28">
        <f>IFERROR('Data Sheet'!H17,0)</f>
        <v>261067.97</v>
      </c>
      <c r="J5" s="28">
        <f>IFERROR('Data Sheet'!I17,0)</f>
        <v>249794.75</v>
      </c>
      <c r="K5" s="28">
        <f>IFERROR('Data Sheet'!J17,0)</f>
        <v>278453.62</v>
      </c>
      <c r="L5" s="28">
        <f>IFERROR('Data Sheet'!K17,0)</f>
        <v>345966.97</v>
      </c>
      <c r="M5" s="28">
        <f>IFERROR(SUM('Data Sheet'!H42:K42),0)</f>
        <v>401785.26</v>
      </c>
    </row>
    <row r="6" spans="1:13" x14ac:dyDescent="0.3">
      <c r="B6" s="30" t="s">
        <v>22</v>
      </c>
      <c r="C6" s="32" t="s">
        <v>97</v>
      </c>
      <c r="D6" s="31">
        <f>D5/C5-1</f>
        <v>0.13024457030826198</v>
      </c>
      <c r="E6" s="31">
        <f t="shared" ref="E6:M6" si="0">E5/D5-1</f>
        <v>3.75690010654397E-2</v>
      </c>
      <c r="F6" s="31">
        <f t="shared" si="0"/>
        <v>-1.2280329732469508E-2</v>
      </c>
      <c r="G6" s="31">
        <f t="shared" si="0"/>
        <v>8.104774581985974E-2</v>
      </c>
      <c r="H6" s="31">
        <f t="shared" si="0"/>
        <v>3.5629919045237157E-2</v>
      </c>
      <c r="I6" s="31">
        <f t="shared" si="0"/>
        <v>-0.135360159555724</v>
      </c>
      <c r="J6" s="31">
        <f t="shared" si="0"/>
        <v>-4.3181168490336042E-2</v>
      </c>
      <c r="K6" s="31">
        <f t="shared" si="0"/>
        <v>0.11472967306158344</v>
      </c>
      <c r="L6" s="31">
        <f t="shared" si="0"/>
        <v>0.24245815155859707</v>
      </c>
      <c r="M6" s="31">
        <f t="shared" si="0"/>
        <v>0.16133993947456893</v>
      </c>
    </row>
    <row r="8" spans="1:13" x14ac:dyDescent="0.3">
      <c r="B8" t="s">
        <v>98</v>
      </c>
      <c r="C8" s="28">
        <f>IFERROR(SUM('Data Sheet'!B18,'Data Sheet'!B20:B22)-1*'Data Sheet'!B19,0)</f>
        <v>180131.06000000003</v>
      </c>
      <c r="D8" s="28">
        <f>IFERROR(SUM('Data Sheet'!C18,'Data Sheet'!C20:C22)-1*'Data Sheet'!C19,0)</f>
        <v>202856.88</v>
      </c>
      <c r="E8" s="28">
        <f>IFERROR(SUM('Data Sheet'!D18,'Data Sheet'!D20:D22)-1*'Data Sheet'!D19,0)</f>
        <v>205509.07</v>
      </c>
      <c r="F8" s="28">
        <f>IFERROR(SUM('Data Sheet'!E18,'Data Sheet'!E20:E22)-1*'Data Sheet'!E19,0)</f>
        <v>205454.23999999996</v>
      </c>
      <c r="G8" s="28">
        <f>IFERROR(SUM('Data Sheet'!F18,'Data Sheet'!F20:F22)-1*'Data Sheet'!F19,0)</f>
        <v>228429.83</v>
      </c>
      <c r="H8" s="28">
        <f>IFERROR(SUM('Data Sheet'!G18,'Data Sheet'!G20:G22)-1*'Data Sheet'!G19,0)</f>
        <v>242845.53</v>
      </c>
      <c r="I8" s="28">
        <f>IFERROR(SUM('Data Sheet'!H18,'Data Sheet'!H20:H22)-1*'Data Sheet'!H19,0)</f>
        <v>210376.07000000004</v>
      </c>
      <c r="J8" s="28">
        <f>IFERROR(SUM('Data Sheet'!I18,'Data Sheet'!I20:I22)-1*'Data Sheet'!I19,0)</f>
        <v>195326.04</v>
      </c>
      <c r="K8" s="28">
        <f>IFERROR(SUM('Data Sheet'!J18,'Data Sheet'!J20:J22)-1*'Data Sheet'!J19,0)</f>
        <v>223300.00999999998</v>
      </c>
      <c r="L8" s="28">
        <f>IFERROR(SUM('Data Sheet'!K18,'Data Sheet'!K20:K22)-1*'Data Sheet'!K19,0)</f>
        <v>274403.64</v>
      </c>
      <c r="M8" s="28">
        <f>IFERROR(SUM('Data Sheet'!H43:K43),0)</f>
        <v>350865.95999999996</v>
      </c>
    </row>
    <row r="9" spans="1:13" x14ac:dyDescent="0.3">
      <c r="B9" s="30" t="s">
        <v>99</v>
      </c>
      <c r="C9" s="31">
        <f>C8/C5</f>
        <v>0.77364698901353024</v>
      </c>
      <c r="D9" s="31">
        <f t="shared" ref="D9:J9" si="1">D8/D5</f>
        <v>0.77085296500237244</v>
      </c>
      <c r="E9" s="31">
        <f t="shared" si="1"/>
        <v>0.75265475803309057</v>
      </c>
      <c r="F9" s="31">
        <f t="shared" si="1"/>
        <v>0.76180921746770036</v>
      </c>
      <c r="G9" s="31">
        <f t="shared" si="1"/>
        <v>0.78350009919380004</v>
      </c>
      <c r="H9" s="31">
        <f t="shared" si="1"/>
        <v>0.80428832503583503</v>
      </c>
      <c r="I9" s="31">
        <f t="shared" si="1"/>
        <v>0.80582872728508226</v>
      </c>
      <c r="J9" s="31">
        <f t="shared" si="1"/>
        <v>0.7819461377791167</v>
      </c>
      <c r="K9" s="31">
        <f>K8/K5</f>
        <v>0.80192891728252624</v>
      </c>
      <c r="L9" s="31">
        <f>L8/L5</f>
        <v>0.79314982005363122</v>
      </c>
      <c r="M9" s="31">
        <f>M8/M5</f>
        <v>0.8732673767076472</v>
      </c>
    </row>
    <row r="11" spans="1:13" ht="15" thickBot="1" x14ac:dyDescent="0.35"/>
    <row r="12" spans="1:13" ht="15" thickBot="1" x14ac:dyDescent="0.35">
      <c r="B12" s="43" t="s">
        <v>100</v>
      </c>
      <c r="C12" s="44">
        <f>C5-C8</f>
        <v>52702.599999999977</v>
      </c>
      <c r="D12" s="44">
        <f t="shared" ref="D12:M12" si="2">D5-D8</f>
        <v>60302.099999999977</v>
      </c>
      <c r="E12" s="44">
        <f t="shared" si="2"/>
        <v>67536.52999999997</v>
      </c>
      <c r="F12" s="44">
        <f t="shared" si="2"/>
        <v>64238.270000000048</v>
      </c>
      <c r="G12" s="44">
        <f t="shared" si="2"/>
        <v>63120.649999999994</v>
      </c>
      <c r="H12" s="44">
        <f t="shared" si="2"/>
        <v>59092.870000000024</v>
      </c>
      <c r="I12" s="44">
        <f t="shared" si="2"/>
        <v>50691.899999999965</v>
      </c>
      <c r="J12" s="44">
        <f t="shared" si="2"/>
        <v>54468.709999999992</v>
      </c>
      <c r="K12" s="44">
        <f t="shared" si="2"/>
        <v>55153.610000000015</v>
      </c>
      <c r="L12" s="44">
        <f>L5-L8</f>
        <v>71563.329999999958</v>
      </c>
      <c r="M12" s="44">
        <f t="shared" si="2"/>
        <v>50919.300000000047</v>
      </c>
    </row>
    <row r="13" spans="1:13" x14ac:dyDescent="0.3">
      <c r="B13" s="30" t="s">
        <v>107</v>
      </c>
      <c r="C13" s="31">
        <f>C12/C5</f>
        <v>0.22635301098646982</v>
      </c>
      <c r="D13" s="31">
        <f t="shared" ref="D13:M13" si="3">D12/D5</f>
        <v>0.22914703499762759</v>
      </c>
      <c r="E13" s="31">
        <f t="shared" si="3"/>
        <v>0.24734524196690946</v>
      </c>
      <c r="F13" s="31">
        <f t="shared" si="3"/>
        <v>0.23819078253229964</v>
      </c>
      <c r="G13" s="31">
        <f t="shared" si="3"/>
        <v>0.21649990080619999</v>
      </c>
      <c r="H13" s="31">
        <f t="shared" si="3"/>
        <v>0.19571167496416494</v>
      </c>
      <c r="I13" s="31">
        <f t="shared" si="3"/>
        <v>0.19417127271491774</v>
      </c>
      <c r="J13" s="31">
        <f t="shared" si="3"/>
        <v>0.2180538622208833</v>
      </c>
      <c r="K13" s="31">
        <f t="shared" si="3"/>
        <v>0.19807108271747378</v>
      </c>
      <c r="L13" s="31">
        <f t="shared" si="3"/>
        <v>0.20685017994636876</v>
      </c>
      <c r="M13" s="31">
        <f t="shared" si="3"/>
        <v>0.12673262329235285</v>
      </c>
    </row>
    <row r="15" spans="1:13" x14ac:dyDescent="0.3">
      <c r="B15" t="s">
        <v>101</v>
      </c>
      <c r="C15" s="33">
        <f>IFERROR(SUM('Data Sheet'!B23:B24),0)</f>
        <v>17849.240000000002</v>
      </c>
      <c r="D15" s="33">
        <f>IFERROR(SUM('Data Sheet'!C23:C24),0)</f>
        <v>21063.449999999997</v>
      </c>
      <c r="E15" s="33">
        <f>IFERROR(SUM('Data Sheet'!D23:D24),0)</f>
        <v>29141.280000000002</v>
      </c>
      <c r="F15" s="33">
        <f>IFERROR(SUM('Data Sheet'!E23:E24),0)</f>
        <v>34649.58</v>
      </c>
      <c r="G15" s="33">
        <f>IFERROR(SUM('Data Sheet'!F23:F24),0)</f>
        <v>31662.97</v>
      </c>
      <c r="H15" s="33">
        <f>IFERROR(SUM('Data Sheet'!G23:G24),0)</f>
        <v>34428.54</v>
      </c>
      <c r="I15" s="33">
        <f>IFERROR(SUM('Data Sheet'!H23:H24),0)</f>
        <v>32704.83</v>
      </c>
      <c r="J15" s="33">
        <f>IFERROR(SUM('Data Sheet'!I23:I24),0)</f>
        <v>22181.280000000002</v>
      </c>
      <c r="K15" s="33">
        <f>IFERROR(SUM('Data Sheet'!J23:J24),0)</f>
        <v>30433.52</v>
      </c>
      <c r="L15" s="33">
        <f>IFERROR(SUM('Data Sheet'!K23:K24),0)</f>
        <v>39747.53</v>
      </c>
      <c r="M15" s="33">
        <f>IFERROR(SUM('Data Sheet'!L23:L24),0)</f>
        <v>0</v>
      </c>
    </row>
    <row r="16" spans="1:13" x14ac:dyDescent="0.3">
      <c r="B16" s="30" t="s">
        <v>102</v>
      </c>
      <c r="C16" s="31">
        <f>C15/C5</f>
        <v>7.6660908908102038E-2</v>
      </c>
      <c r="D16" s="31">
        <f t="shared" ref="D16:M16" si="4">D15/D5</f>
        <v>8.0040779911823637E-2</v>
      </c>
      <c r="E16" s="31">
        <f t="shared" si="4"/>
        <v>0.10672678849247161</v>
      </c>
      <c r="F16" s="31">
        <f t="shared" si="4"/>
        <v>0.12847809529452636</v>
      </c>
      <c r="G16" s="31">
        <f t="shared" si="4"/>
        <v>0.10860201636437025</v>
      </c>
      <c r="H16" s="31">
        <f t="shared" si="4"/>
        <v>0.11402504616835751</v>
      </c>
      <c r="I16" s="31">
        <f t="shared" si="4"/>
        <v>0.12527323822987554</v>
      </c>
      <c r="J16" s="31">
        <f t="shared" si="4"/>
        <v>8.8798023177028354E-2</v>
      </c>
      <c r="K16" s="31">
        <f t="shared" si="4"/>
        <v>0.10929475436519734</v>
      </c>
      <c r="L16" s="31">
        <f t="shared" si="4"/>
        <v>0.11488822184383672</v>
      </c>
      <c r="M16" s="31">
        <f t="shared" si="4"/>
        <v>0</v>
      </c>
    </row>
    <row r="18" spans="2:13" ht="15" thickBot="1" x14ac:dyDescent="0.35"/>
    <row r="19" spans="2:13" ht="15" thickBot="1" x14ac:dyDescent="0.35">
      <c r="B19" s="43" t="s">
        <v>103</v>
      </c>
      <c r="C19" s="44">
        <f>C12-C15</f>
        <v>34853.359999999971</v>
      </c>
      <c r="D19" s="44">
        <f t="shared" ref="D19:M19" si="5">D12-D15</f>
        <v>39238.64999999998</v>
      </c>
      <c r="E19" s="44">
        <f t="shared" si="5"/>
        <v>38395.249999999971</v>
      </c>
      <c r="F19" s="44">
        <f t="shared" si="5"/>
        <v>29588.690000000046</v>
      </c>
      <c r="G19" s="44">
        <f t="shared" si="5"/>
        <v>31457.679999999993</v>
      </c>
      <c r="H19" s="44">
        <f t="shared" si="5"/>
        <v>24664.330000000024</v>
      </c>
      <c r="I19" s="44">
        <f t="shared" si="5"/>
        <v>17987.069999999963</v>
      </c>
      <c r="J19" s="44">
        <f t="shared" si="5"/>
        <v>32287.429999999989</v>
      </c>
      <c r="K19" s="44">
        <f t="shared" si="5"/>
        <v>24720.090000000015</v>
      </c>
      <c r="L19" s="44">
        <f t="shared" si="5"/>
        <v>31815.799999999959</v>
      </c>
      <c r="M19" s="44">
        <f t="shared" si="5"/>
        <v>50919.300000000047</v>
      </c>
    </row>
    <row r="20" spans="2:13" x14ac:dyDescent="0.3">
      <c r="B20" s="30" t="s">
        <v>104</v>
      </c>
      <c r="C20" s="31">
        <f>C19/C5</f>
        <v>0.14969210207836775</v>
      </c>
      <c r="D20" s="31">
        <f t="shared" ref="D20:M20" si="6">D19/D5</f>
        <v>0.14910625508580397</v>
      </c>
      <c r="E20" s="31">
        <f t="shared" si="6"/>
        <v>0.14061845347443788</v>
      </c>
      <c r="F20" s="31">
        <f t="shared" si="6"/>
        <v>0.10971268723777329</v>
      </c>
      <c r="G20" s="31">
        <f t="shared" si="6"/>
        <v>0.10789788444182975</v>
      </c>
      <c r="H20" s="31">
        <f t="shared" si="6"/>
        <v>8.1686628795807431E-2</v>
      </c>
      <c r="I20" s="31">
        <f t="shared" si="6"/>
        <v>6.8898034485042198E-2</v>
      </c>
      <c r="J20" s="31">
        <f t="shared" si="6"/>
        <v>0.12925583904385496</v>
      </c>
      <c r="K20" s="31">
        <f t="shared" si="6"/>
        <v>8.877632835227646E-2</v>
      </c>
      <c r="L20" s="31">
        <f t="shared" si="6"/>
        <v>9.1961958102532049E-2</v>
      </c>
      <c r="M20" s="31">
        <f t="shared" si="6"/>
        <v>0.12673262329235285</v>
      </c>
    </row>
    <row r="22" spans="2:13" x14ac:dyDescent="0.3">
      <c r="B22" t="s">
        <v>11</v>
      </c>
      <c r="C22" s="33">
        <f>IFERROR('Data Sheet'!B27,0)</f>
        <v>4749.4399999999996</v>
      </c>
      <c r="D22" s="33">
        <f>IFERROR('Data Sheet'!C27,0)</f>
        <v>4861.49</v>
      </c>
      <c r="E22" s="33">
        <f>IFERROR('Data Sheet'!D27,0)</f>
        <v>4889.08</v>
      </c>
      <c r="F22" s="33">
        <f>IFERROR('Data Sheet'!E27,0)</f>
        <v>4238.01</v>
      </c>
      <c r="G22" s="33">
        <f>IFERROR('Data Sheet'!F27,0)</f>
        <v>4681.79</v>
      </c>
      <c r="H22" s="33">
        <f>IFERROR('Data Sheet'!G27,0)</f>
        <v>5758.6</v>
      </c>
      <c r="I22" s="33">
        <f>IFERROR('Data Sheet'!H27,0)</f>
        <v>7243.33</v>
      </c>
      <c r="J22" s="33">
        <f>IFERROR('Data Sheet'!I27,0)</f>
        <v>8097.17</v>
      </c>
      <c r="K22" s="33">
        <f>IFERROR('Data Sheet'!J27,0)</f>
        <v>9311.86</v>
      </c>
      <c r="L22" s="33">
        <f>IFERROR('Data Sheet'!K27,0)</f>
        <v>10225.48</v>
      </c>
      <c r="M22" s="33">
        <f>IFERROR(SUM('Data Sheet'!H46:K46),0)</f>
        <v>10584.58</v>
      </c>
    </row>
    <row r="23" spans="2:13" x14ac:dyDescent="0.3">
      <c r="B23" s="30" t="s">
        <v>105</v>
      </c>
      <c r="C23" s="31">
        <f>C22/C5</f>
        <v>2.0398425210512945E-2</v>
      </c>
      <c r="D23" s="31">
        <f t="shared" ref="D23:M23" si="7">D22/D5</f>
        <v>1.8473585814932098E-2</v>
      </c>
      <c r="E23" s="31">
        <f t="shared" si="7"/>
        <v>1.7905727101993223E-2</v>
      </c>
      <c r="F23" s="31">
        <f t="shared" si="7"/>
        <v>1.5714229512714312E-2</v>
      </c>
      <c r="G23" s="31">
        <f t="shared" si="7"/>
        <v>1.605824830060304E-2</v>
      </c>
      <c r="H23" s="31">
        <f t="shared" si="7"/>
        <v>1.9072102124141878E-2</v>
      </c>
      <c r="I23" s="31">
        <f t="shared" si="7"/>
        <v>2.7744996829752802E-2</v>
      </c>
      <c r="J23" s="31">
        <f t="shared" si="7"/>
        <v>3.2415292955516477E-2</v>
      </c>
      <c r="K23" s="31">
        <f t="shared" si="7"/>
        <v>3.3441332168710897E-2</v>
      </c>
      <c r="L23" s="31">
        <f t="shared" si="7"/>
        <v>2.9556231914277829E-2</v>
      </c>
      <c r="M23" s="31">
        <f t="shared" si="7"/>
        <v>2.6343873341695013E-2</v>
      </c>
    </row>
    <row r="26" spans="2:13" x14ac:dyDescent="0.3">
      <c r="B26" t="s">
        <v>10</v>
      </c>
      <c r="C26" s="33">
        <f>IFERROR('Data Sheet'!B26,0)</f>
        <v>11078.16</v>
      </c>
      <c r="D26" s="33">
        <f>IFERROR('Data Sheet'!C26,0)</f>
        <v>13388.63</v>
      </c>
      <c r="E26" s="33">
        <f>IFERROR('Data Sheet'!D26,0)</f>
        <v>16710.78</v>
      </c>
      <c r="F26" s="33">
        <f>IFERROR('Data Sheet'!E26,0)</f>
        <v>17904.990000000002</v>
      </c>
      <c r="G26" s="33">
        <f>IFERROR('Data Sheet'!F26,0)</f>
        <v>21553.59</v>
      </c>
      <c r="H26" s="33">
        <f>IFERROR('Data Sheet'!G26,0)</f>
        <v>23590.63</v>
      </c>
      <c r="I26" s="33">
        <f>IFERROR('Data Sheet'!H26,0)</f>
        <v>21425.43</v>
      </c>
      <c r="J26" s="33">
        <f>IFERROR('Data Sheet'!I26,0)</f>
        <v>23546.71</v>
      </c>
      <c r="K26" s="33">
        <f>IFERROR('Data Sheet'!J26,0)</f>
        <v>24835.69</v>
      </c>
      <c r="L26" s="33">
        <f>IFERROR('Data Sheet'!K26,0)</f>
        <v>24860.36</v>
      </c>
      <c r="M26" s="33">
        <f>IFERROR(SUM('Data Sheet'!H45:K45),0)</f>
        <v>26391.58</v>
      </c>
    </row>
    <row r="27" spans="2:13" x14ac:dyDescent="0.3">
      <c r="B27" s="30" t="s">
        <v>106</v>
      </c>
      <c r="C27" s="31">
        <f>C26/C5</f>
        <v>4.757971849946438E-2</v>
      </c>
      <c r="D27" s="31">
        <f t="shared" ref="D27:M27" si="8">D26/D5</f>
        <v>5.0876584184966822E-2</v>
      </c>
      <c r="E27" s="31">
        <f t="shared" si="8"/>
        <v>6.1201425695927715E-2</v>
      </c>
      <c r="F27" s="31">
        <f t="shared" si="8"/>
        <v>6.63903865924938E-2</v>
      </c>
      <c r="G27" s="31">
        <f t="shared" si="8"/>
        <v>7.3927472182518786E-2</v>
      </c>
      <c r="H27" s="31">
        <f t="shared" si="8"/>
        <v>7.8130605447998658E-2</v>
      </c>
      <c r="I27" s="31">
        <f t="shared" si="8"/>
        <v>8.206839774331566E-2</v>
      </c>
      <c r="J27" s="31">
        <f t="shared" si="8"/>
        <v>9.4264230933596482E-2</v>
      </c>
      <c r="K27" s="31">
        <f t="shared" si="8"/>
        <v>8.9191478279219347E-2</v>
      </c>
      <c r="L27" s="31">
        <f t="shared" si="8"/>
        <v>7.1857611147098821E-2</v>
      </c>
      <c r="M27" s="31">
        <f t="shared" si="8"/>
        <v>6.5685784490949223E-2</v>
      </c>
    </row>
    <row r="29" spans="2:13" ht="15" thickBot="1" x14ac:dyDescent="0.35"/>
    <row r="30" spans="2:13" ht="15" thickBot="1" x14ac:dyDescent="0.35">
      <c r="B30" s="43" t="s">
        <v>108</v>
      </c>
      <c r="C30" s="44">
        <f>IFERROR(C19-SUM(C22,C26),0)</f>
        <v>19025.759999999973</v>
      </c>
      <c r="D30" s="44">
        <f t="shared" ref="D30:M30" si="9">IFERROR(D19-SUM(D22,D26),0)</f>
        <v>20988.529999999981</v>
      </c>
      <c r="E30" s="44">
        <f t="shared" si="9"/>
        <v>16795.38999999997</v>
      </c>
      <c r="F30" s="44">
        <f t="shared" si="9"/>
        <v>7445.690000000046</v>
      </c>
      <c r="G30" s="44">
        <f t="shared" si="9"/>
        <v>5222.299999999992</v>
      </c>
      <c r="H30" s="46">
        <f t="shared" si="9"/>
        <v>-4684.8999999999796</v>
      </c>
      <c r="I30" s="46">
        <f t="shared" si="9"/>
        <v>-10681.690000000039</v>
      </c>
      <c r="J30" s="44">
        <f t="shared" si="9"/>
        <v>643.549999999992</v>
      </c>
      <c r="K30" s="46">
        <f t="shared" si="9"/>
        <v>-9427.4599999999882</v>
      </c>
      <c r="L30" s="46">
        <f t="shared" si="9"/>
        <v>-3270.0400000000373</v>
      </c>
      <c r="M30" s="44">
        <f t="shared" si="9"/>
        <v>13943.140000000043</v>
      </c>
    </row>
    <row r="31" spans="2:13" x14ac:dyDescent="0.3">
      <c r="B31" s="30" t="s">
        <v>109</v>
      </c>
      <c r="C31" s="31">
        <f>C30/C5</f>
        <v>8.1713958368390432E-2</v>
      </c>
      <c r="D31" s="31">
        <f t="shared" ref="D31:M31" si="10">D30/D5</f>
        <v>7.9756085085905037E-2</v>
      </c>
      <c r="E31" s="31">
        <f t="shared" si="10"/>
        <v>6.1511300676516931E-2</v>
      </c>
      <c r="F31" s="31">
        <f t="shared" si="10"/>
        <v>2.7608071132565179E-2</v>
      </c>
      <c r="G31" s="31">
        <f t="shared" si="10"/>
        <v>1.7912163958707913E-2</v>
      </c>
      <c r="H31" s="31">
        <f t="shared" si="10"/>
        <v>-1.5516078776333117E-2</v>
      </c>
      <c r="I31" s="31">
        <f t="shared" si="10"/>
        <v>-4.0915360088026265E-2</v>
      </c>
      <c r="J31" s="31">
        <f t="shared" si="10"/>
        <v>2.5763151547420113E-3</v>
      </c>
      <c r="K31" s="31">
        <f t="shared" si="10"/>
        <v>-3.3856482095653805E-2</v>
      </c>
      <c r="L31" s="31">
        <f t="shared" si="10"/>
        <v>-9.4518849588445895E-3</v>
      </c>
      <c r="M31" s="31">
        <f t="shared" si="10"/>
        <v>3.4702965459708607E-2</v>
      </c>
    </row>
    <row r="33" spans="2:13" x14ac:dyDescent="0.3">
      <c r="B33" t="s">
        <v>13</v>
      </c>
      <c r="C33" s="33">
        <f>IFERROR('Data Sheet'!B29,0)</f>
        <v>4764.79</v>
      </c>
      <c r="D33" s="33">
        <f>IFERROR('Data Sheet'!C29,0)</f>
        <v>7642.91</v>
      </c>
      <c r="E33" s="33">
        <f>IFERROR('Data Sheet'!D29,0)</f>
        <v>3025.05</v>
      </c>
      <c r="F33" s="33">
        <f>IFERROR('Data Sheet'!E29,0)</f>
        <v>3251.23</v>
      </c>
      <c r="G33" s="33">
        <f>IFERROR('Data Sheet'!F29,0)</f>
        <v>4341.93</v>
      </c>
      <c r="H33" s="33">
        <f>IFERROR('Data Sheet'!G29,0)</f>
        <v>-2437.4499999999998</v>
      </c>
      <c r="I33" s="33">
        <f>IFERROR('Data Sheet'!H29,0)</f>
        <v>395.25</v>
      </c>
      <c r="J33" s="33">
        <f>IFERROR('Data Sheet'!I29,0)</f>
        <v>2541.86</v>
      </c>
      <c r="K33" s="33">
        <f>IFERROR('Data Sheet'!J29,0)</f>
        <v>4231.29</v>
      </c>
      <c r="L33" s="33">
        <f>IFERROR('Data Sheet'!K29,0)</f>
        <v>704.06</v>
      </c>
      <c r="M33" s="33">
        <f>IFERROR(SUM('Data Sheet'!H48:K48),0)</f>
        <v>3408.03</v>
      </c>
    </row>
    <row r="34" spans="2:13" x14ac:dyDescent="0.3">
      <c r="B34" s="30" t="s">
        <v>110</v>
      </c>
      <c r="C34" s="31">
        <f>C33/C30</f>
        <v>0.25043887865714731</v>
      </c>
      <c r="D34" s="31">
        <f t="shared" ref="D34:M34" si="11">D33/D30</f>
        <v>0.3641469888553418</v>
      </c>
      <c r="E34" s="31">
        <f t="shared" si="11"/>
        <v>0.18011192356950362</v>
      </c>
      <c r="F34" s="31">
        <f t="shared" si="11"/>
        <v>0.43665932908836924</v>
      </c>
      <c r="G34" s="31">
        <f t="shared" si="11"/>
        <v>0.8314210213890445</v>
      </c>
      <c r="H34" s="31">
        <f t="shared" si="11"/>
        <v>0.52027791414971725</v>
      </c>
      <c r="I34" s="31">
        <f t="shared" si="11"/>
        <v>-3.7002571690434617E-2</v>
      </c>
      <c r="J34" s="31">
        <f t="shared" si="11"/>
        <v>3.9497474943672315</v>
      </c>
      <c r="K34" s="31">
        <f t="shared" si="11"/>
        <v>-0.4488260888935095</v>
      </c>
      <c r="L34" s="31">
        <f t="shared" si="11"/>
        <v>-0.21530623478611635</v>
      </c>
      <c r="M34" s="31">
        <f t="shared" si="11"/>
        <v>0.2444234225576154</v>
      </c>
    </row>
    <row r="35" spans="2:13" ht="15" thickBot="1" x14ac:dyDescent="0.35"/>
    <row r="36" spans="2:13" ht="15" thickBot="1" x14ac:dyDescent="0.35">
      <c r="B36" s="43" t="s">
        <v>111</v>
      </c>
      <c r="C36" s="44">
        <f>IFERROR(C30-C33,0)</f>
        <v>14260.969999999972</v>
      </c>
      <c r="D36" s="44">
        <f t="shared" ref="D36:M36" si="12">IFERROR(D30-D33,0)</f>
        <v>13345.619999999981</v>
      </c>
      <c r="E36" s="44">
        <f t="shared" si="12"/>
        <v>13770.339999999971</v>
      </c>
      <c r="F36" s="44">
        <f t="shared" si="12"/>
        <v>4194.4600000000464</v>
      </c>
      <c r="G36" s="44">
        <f t="shared" si="12"/>
        <v>880.36999999999171</v>
      </c>
      <c r="H36" s="44">
        <f t="shared" si="12"/>
        <v>-2247.4499999999798</v>
      </c>
      <c r="I36" s="44">
        <f t="shared" si="12"/>
        <v>-11076.940000000039</v>
      </c>
      <c r="J36" s="44">
        <f t="shared" si="12"/>
        <v>-1898.3100000000081</v>
      </c>
      <c r="K36" s="44">
        <f t="shared" si="12"/>
        <v>-13658.749999999989</v>
      </c>
      <c r="L36" s="44">
        <f t="shared" si="12"/>
        <v>-3974.1000000000372</v>
      </c>
      <c r="M36" s="44">
        <f t="shared" si="12"/>
        <v>10535.110000000042</v>
      </c>
    </row>
    <row r="37" spans="2:13" x14ac:dyDescent="0.3">
      <c r="B37" s="30" t="s">
        <v>112</v>
      </c>
      <c r="C37" s="31">
        <f>C36/C5</f>
        <v>6.124960626397391E-2</v>
      </c>
      <c r="D37" s="31">
        <f t="shared" ref="D37:M37" si="13">D36/D5</f>
        <v>5.0713146858982282E-2</v>
      </c>
      <c r="E37" s="31">
        <f t="shared" si="13"/>
        <v>5.0432381990407359E-2</v>
      </c>
      <c r="F37" s="31">
        <f t="shared" si="13"/>
        <v>1.5552749314395296E-2</v>
      </c>
      <c r="G37" s="31">
        <f t="shared" si="13"/>
        <v>3.01961430487095E-3</v>
      </c>
      <c r="H37" s="31">
        <f t="shared" si="13"/>
        <v>-7.4434056747998256E-3</v>
      </c>
      <c r="I37" s="31">
        <f t="shared" si="13"/>
        <v>-4.2429333632923408E-2</v>
      </c>
      <c r="J37" s="31">
        <f t="shared" si="13"/>
        <v>-7.5994791724005731E-3</v>
      </c>
      <c r="K37" s="31">
        <f t="shared" si="13"/>
        <v>-4.9052154538339235E-2</v>
      </c>
      <c r="L37" s="31">
        <f t="shared" si="13"/>
        <v>-1.1486934720964945E-2</v>
      </c>
      <c r="M37" s="31">
        <f t="shared" si="13"/>
        <v>2.6220747869147919E-2</v>
      </c>
    </row>
    <row r="40" spans="2:13" x14ac:dyDescent="0.3">
      <c r="B40" t="s">
        <v>113</v>
      </c>
      <c r="C40" s="33">
        <f>IFERROR('Data Sheet'!B93,0)</f>
        <v>288.74</v>
      </c>
      <c r="D40" s="33">
        <f>IFERROR('Data Sheet'!C93,0)</f>
        <v>288.74</v>
      </c>
      <c r="E40" s="33">
        <f>IFERROR('Data Sheet'!D93,0)</f>
        <v>288.72000000000003</v>
      </c>
      <c r="F40" s="33">
        <f>IFERROR('Data Sheet'!E93,0)</f>
        <v>288.73</v>
      </c>
      <c r="G40" s="33">
        <f>IFERROR('Data Sheet'!F93,0)</f>
        <v>288.73</v>
      </c>
      <c r="H40" s="33">
        <f>IFERROR('Data Sheet'!G93,0)</f>
        <v>288.73</v>
      </c>
      <c r="I40" s="33">
        <f>IFERROR('Data Sheet'!H93,0)</f>
        <v>308.89999999999998</v>
      </c>
      <c r="J40" s="33">
        <f>IFERROR('Data Sheet'!I93,0)</f>
        <v>332.03</v>
      </c>
      <c r="K40" s="33">
        <f>IFERROR('Data Sheet'!J93,0)</f>
        <v>332.07</v>
      </c>
      <c r="L40" s="33">
        <f>IFERROR('Data Sheet'!K93,0)</f>
        <v>332.13</v>
      </c>
      <c r="M40" s="33">
        <f>IFERROR('Data Sheet'!L93,0)</f>
        <v>0</v>
      </c>
    </row>
    <row r="42" spans="2:13" x14ac:dyDescent="0.3">
      <c r="B42" t="s">
        <v>114</v>
      </c>
      <c r="C42" s="33">
        <f>IFERROR(C36/C40,0)</f>
        <v>49.390351180993186</v>
      </c>
      <c r="D42" s="33">
        <f t="shared" ref="D42:M42" si="14">IFERROR(D36/D40,0)</f>
        <v>46.220198102098706</v>
      </c>
      <c r="E42" s="33">
        <f t="shared" si="14"/>
        <v>47.694444444444336</v>
      </c>
      <c r="F42" s="33">
        <f t="shared" si="14"/>
        <v>14.527274616423808</v>
      </c>
      <c r="G42" s="33">
        <f t="shared" si="14"/>
        <v>3.049111626779315</v>
      </c>
      <c r="H42" s="33">
        <f t="shared" si="14"/>
        <v>-7.7839157690575265</v>
      </c>
      <c r="I42" s="33">
        <f>IFERROR(I36/I40,0)</f>
        <v>-35.859307219164904</v>
      </c>
      <c r="J42" s="33">
        <f t="shared" si="14"/>
        <v>-5.7172845827184542</v>
      </c>
      <c r="K42" s="33">
        <f t="shared" si="14"/>
        <v>-41.132140813683833</v>
      </c>
      <c r="L42" s="33">
        <f t="shared" si="14"/>
        <v>-11.965495438533218</v>
      </c>
      <c r="M42" s="33">
        <f t="shared" si="14"/>
        <v>0</v>
      </c>
    </row>
    <row r="43" spans="2:13" x14ac:dyDescent="0.3">
      <c r="B43" s="30" t="s">
        <v>116</v>
      </c>
      <c r="C43" s="31"/>
      <c r="D43" s="31">
        <f>IFERROR(D42/C42-1,0)</f>
        <v>-6.4185676009415493E-2</v>
      </c>
      <c r="E43" s="31">
        <f t="shared" ref="E43:M43" si="15">IFERROR(E42/D42-1,0)</f>
        <v>3.189614936502605E-2</v>
      </c>
      <c r="F43" s="31">
        <f t="shared" si="15"/>
        <v>-0.69540950134463697</v>
      </c>
      <c r="G43" s="31">
        <f t="shared" si="15"/>
        <v>-0.79011124197155724</v>
      </c>
      <c r="H43" s="31">
        <f t="shared" si="15"/>
        <v>-3.5528470983790919</v>
      </c>
      <c r="I43" s="31">
        <f t="shared" si="15"/>
        <v>3.6068467700681115</v>
      </c>
      <c r="J43" s="31">
        <f t="shared" si="15"/>
        <v>-0.84056344011958861</v>
      </c>
      <c r="K43" s="31">
        <f t="shared" si="15"/>
        <v>6.194349033807641</v>
      </c>
      <c r="L43" s="31">
        <f t="shared" si="15"/>
        <v>-0.70909621522659627</v>
      </c>
      <c r="M43" s="31">
        <f t="shared" si="15"/>
        <v>-1</v>
      </c>
    </row>
    <row r="45" spans="2:13" x14ac:dyDescent="0.3">
      <c r="B45" t="s">
        <v>115</v>
      </c>
      <c r="C45" s="28">
        <f>IFERROR('Data Sheet'!B31/HistoricalFS!C40,0)</f>
        <v>2.2296183417607534</v>
      </c>
      <c r="D45" s="28">
        <f>IFERROR('Data Sheet'!C31/HistoricalFS!D40,0)</f>
        <v>0</v>
      </c>
      <c r="E45" s="28">
        <f>IFERROR('Data Sheet'!D31/HistoricalFS!E40,0)</f>
        <v>0.23524522028262676</v>
      </c>
      <c r="F45" s="28">
        <f>IFERROR('Data Sheet'!E31/HistoricalFS!F40,0)</f>
        <v>0</v>
      </c>
      <c r="G45" s="28">
        <f>IFERROR('Data Sheet'!F31/HistoricalFS!G40,0)</f>
        <v>0</v>
      </c>
      <c r="H45" s="28">
        <f>IFERROR('Data Sheet'!G31/HistoricalFS!H40,0)</f>
        <v>0</v>
      </c>
      <c r="I45" s="28">
        <f>IFERROR('Data Sheet'!H31/HistoricalFS!I40,0)</f>
        <v>0</v>
      </c>
      <c r="J45" s="28">
        <f>IFERROR('Data Sheet'!I31/HistoricalFS!J40,0)</f>
        <v>0</v>
      </c>
      <c r="K45" s="28">
        <f>IFERROR('Data Sheet'!J31/HistoricalFS!K40,0)</f>
        <v>0</v>
      </c>
      <c r="L45" s="28">
        <f>IFERROR('Data Sheet'!K31/HistoricalFS!L40,0)</f>
        <v>2.3063860536536898</v>
      </c>
      <c r="M45" s="28">
        <f>IFERROR('Data Sheet'!L31/HistoricalFS!M40,0)</f>
        <v>0</v>
      </c>
    </row>
    <row r="46" spans="2:13" x14ac:dyDescent="0.3">
      <c r="B46" s="30" t="s">
        <v>117</v>
      </c>
      <c r="C46" s="31">
        <f>IFERROR(C45/C42,0)</f>
        <v>4.5142791829728357E-2</v>
      </c>
      <c r="D46" s="31">
        <f t="shared" ref="D46:M46" si="16">IFERROR(D45/D42,0)</f>
        <v>0</v>
      </c>
      <c r="E46" s="31">
        <f t="shared" si="16"/>
        <v>4.9323400874633563E-3</v>
      </c>
      <c r="F46" s="31">
        <f t="shared" si="16"/>
        <v>0</v>
      </c>
      <c r="G46" s="31">
        <f t="shared" si="16"/>
        <v>0</v>
      </c>
      <c r="H46" s="31">
        <f t="shared" si="16"/>
        <v>0</v>
      </c>
      <c r="I46" s="31">
        <f t="shared" si="16"/>
        <v>0</v>
      </c>
      <c r="J46" s="31">
        <f t="shared" si="16"/>
        <v>0</v>
      </c>
      <c r="K46" s="31">
        <f t="shared" si="16"/>
        <v>0</v>
      </c>
      <c r="L46" s="31">
        <f t="shared" si="16"/>
        <v>-0.19275307616818721</v>
      </c>
      <c r="M46" s="31">
        <f t="shared" si="16"/>
        <v>0</v>
      </c>
    </row>
    <row r="48" spans="2:13" x14ac:dyDescent="0.3">
      <c r="B48" t="s">
        <v>118</v>
      </c>
      <c r="C48" s="36">
        <f>IFERROR(IF(C42&gt;C45,1-C46,0),0)</f>
        <v>0.95485720817027164</v>
      </c>
      <c r="D48" s="36">
        <f t="shared" ref="D48:M48" si="17">IFERROR(IF(D42&gt;D45,1-D46,0),0)</f>
        <v>1</v>
      </c>
      <c r="E48" s="36">
        <f t="shared" si="17"/>
        <v>0.99506765991253665</v>
      </c>
      <c r="F48" s="36">
        <f t="shared" si="17"/>
        <v>1</v>
      </c>
      <c r="G48" s="36">
        <f t="shared" si="17"/>
        <v>1</v>
      </c>
      <c r="H48" s="36">
        <f t="shared" si="17"/>
        <v>0</v>
      </c>
      <c r="I48" s="36">
        <f t="shared" si="17"/>
        <v>0</v>
      </c>
      <c r="J48" s="36">
        <f t="shared" si="17"/>
        <v>0</v>
      </c>
      <c r="K48" s="36">
        <f t="shared" si="17"/>
        <v>0</v>
      </c>
      <c r="L48" s="36">
        <f t="shared" si="17"/>
        <v>0</v>
      </c>
      <c r="M48" s="36">
        <f t="shared" si="17"/>
        <v>0</v>
      </c>
    </row>
    <row r="51" spans="1:13" x14ac:dyDescent="0.3">
      <c r="A51" t="s">
        <v>96</v>
      </c>
      <c r="B51" s="34" t="s">
        <v>119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13" x14ac:dyDescent="0.3">
      <c r="B52" s="6" t="s">
        <v>24</v>
      </c>
      <c r="C52" s="28">
        <f>IFERROR('Data Sheet'!B57,0)</f>
        <v>643.78</v>
      </c>
      <c r="D52" s="28">
        <f>IFERROR('Data Sheet'!C57,0)</f>
        <v>643.78</v>
      </c>
      <c r="E52" s="28">
        <f>IFERROR('Data Sheet'!D57,0)</f>
        <v>679.18</v>
      </c>
      <c r="F52" s="28">
        <f>IFERROR('Data Sheet'!E57,0)</f>
        <v>679.22</v>
      </c>
      <c r="G52" s="28">
        <f>IFERROR('Data Sheet'!F57,0)</f>
        <v>679.22</v>
      </c>
      <c r="H52" s="28">
        <f>IFERROR('Data Sheet'!G57,0)</f>
        <v>679.22</v>
      </c>
      <c r="I52" s="28">
        <f>IFERROR('Data Sheet'!H57,0)</f>
        <v>719.54</v>
      </c>
      <c r="J52" s="28">
        <f>IFERROR('Data Sheet'!I57,0)</f>
        <v>765.81</v>
      </c>
      <c r="K52" s="28">
        <f>IFERROR('Data Sheet'!J57,0)</f>
        <v>765.88</v>
      </c>
      <c r="L52" s="28">
        <f>IFERROR('Data Sheet'!K57,0)</f>
        <v>766.02</v>
      </c>
      <c r="M52" s="28">
        <f>IFERROR('Data Sheet'!L57,0)</f>
        <v>0</v>
      </c>
    </row>
    <row r="53" spans="1:13" x14ac:dyDescent="0.3">
      <c r="B53" s="6" t="s">
        <v>25</v>
      </c>
      <c r="C53" s="28">
        <f>IFERROR('Data Sheet'!B58,0)</f>
        <v>64959.67</v>
      </c>
      <c r="D53" s="28">
        <f>IFERROR('Data Sheet'!C58,0)</f>
        <v>55618.14</v>
      </c>
      <c r="E53" s="28">
        <f>IFERROR('Data Sheet'!D58,0)</f>
        <v>78273.23</v>
      </c>
      <c r="F53" s="28">
        <f>IFERROR('Data Sheet'!E58,0)</f>
        <v>57382.67</v>
      </c>
      <c r="G53" s="28">
        <f>IFERROR('Data Sheet'!F58,0)</f>
        <v>94748.69</v>
      </c>
      <c r="H53" s="28">
        <f>IFERROR('Data Sheet'!G58,0)</f>
        <v>59500.34</v>
      </c>
      <c r="I53" s="28">
        <f>IFERROR('Data Sheet'!H58,0)</f>
        <v>61491.49</v>
      </c>
      <c r="J53" s="28">
        <f>IFERROR('Data Sheet'!I58,0)</f>
        <v>54480.91</v>
      </c>
      <c r="K53" s="28">
        <f>IFERROR('Data Sheet'!J58,0)</f>
        <v>43795.360000000001</v>
      </c>
      <c r="L53" s="28">
        <f>IFERROR('Data Sheet'!K58,0)</f>
        <v>44555.77</v>
      </c>
      <c r="M53" s="28"/>
    </row>
    <row r="54" spans="1:13" x14ac:dyDescent="0.3">
      <c r="B54" s="6" t="s">
        <v>71</v>
      </c>
      <c r="C54" s="28">
        <f>IFERROR('Data Sheet'!B59,0)</f>
        <v>60642.28</v>
      </c>
      <c r="D54" s="28">
        <f>IFERROR('Data Sheet'!C59,0)</f>
        <v>73610.39</v>
      </c>
      <c r="E54" s="28">
        <f>IFERROR('Data Sheet'!D59,0)</f>
        <v>69359.960000000006</v>
      </c>
      <c r="F54" s="28">
        <f>IFERROR('Data Sheet'!E59,0)</f>
        <v>78603.98</v>
      </c>
      <c r="G54" s="28">
        <f>IFERROR('Data Sheet'!F59,0)</f>
        <v>88950.47</v>
      </c>
      <c r="H54" s="28">
        <f>IFERROR('Data Sheet'!G59,0)</f>
        <v>106175.34</v>
      </c>
      <c r="I54" s="28">
        <f>IFERROR('Data Sheet'!H59,0)</f>
        <v>124787.64</v>
      </c>
      <c r="J54" s="28">
        <f>IFERROR('Data Sheet'!I59,0)</f>
        <v>142130.57</v>
      </c>
      <c r="K54" s="28">
        <f>IFERROR('Data Sheet'!J59,0)</f>
        <v>146449.03</v>
      </c>
      <c r="L54" s="28">
        <f>IFERROR('Data Sheet'!K59,0)</f>
        <v>134113.44</v>
      </c>
      <c r="M54" s="28"/>
    </row>
    <row r="55" spans="1:13" ht="15" thickBot="1" x14ac:dyDescent="0.35">
      <c r="B55" s="6" t="s">
        <v>72</v>
      </c>
      <c r="C55" s="28">
        <f>IFERROR('Data Sheet'!B60,0)</f>
        <v>92180.26</v>
      </c>
      <c r="D55" s="28">
        <f>IFERROR('Data Sheet'!C60,0)</f>
        <v>107442.48</v>
      </c>
      <c r="E55" s="28">
        <f>IFERROR('Data Sheet'!D60,0)</f>
        <v>114871.75</v>
      </c>
      <c r="F55" s="28">
        <f>IFERROR('Data Sheet'!E60,0)</f>
        <v>135914.49</v>
      </c>
      <c r="G55" s="28">
        <f>IFERROR('Data Sheet'!F60,0)</f>
        <v>142813.43</v>
      </c>
      <c r="H55" s="28">
        <f>IFERROR('Data Sheet'!G60,0)</f>
        <v>139348.59</v>
      </c>
      <c r="I55" s="28">
        <f>IFERROR('Data Sheet'!H60,0)</f>
        <v>133180.72</v>
      </c>
      <c r="J55" s="28">
        <f>IFERROR('Data Sheet'!I60,0)</f>
        <v>144192.62</v>
      </c>
      <c r="K55" s="28">
        <f>IFERROR('Data Sheet'!J60,0)</f>
        <v>138051.22</v>
      </c>
      <c r="L55" s="28">
        <f>IFERROR('Data Sheet'!K60,0)</f>
        <v>155239.20000000001</v>
      </c>
      <c r="M55" s="28"/>
    </row>
    <row r="56" spans="1:13" ht="15" thickBot="1" x14ac:dyDescent="0.35">
      <c r="B56" s="45" t="s">
        <v>120</v>
      </c>
      <c r="C56" s="46">
        <f>IFERROR('Data Sheet'!B61,0)</f>
        <v>218425.99</v>
      </c>
      <c r="D56" s="46">
        <f>IFERROR('Data Sheet'!C61,0)</f>
        <v>237314.79</v>
      </c>
      <c r="E56" s="46">
        <f>IFERROR('Data Sheet'!D61,0)</f>
        <v>263184.12</v>
      </c>
      <c r="F56" s="46">
        <f>IFERROR('Data Sheet'!E61,0)</f>
        <v>272580.36</v>
      </c>
      <c r="G56" s="46">
        <f>IFERROR('Data Sheet'!F61,0)</f>
        <v>327191.81</v>
      </c>
      <c r="H56" s="46">
        <f>IFERROR('Data Sheet'!G61,0)</f>
        <v>305703.49</v>
      </c>
      <c r="I56" s="46">
        <f>IFERROR('Data Sheet'!H61,0)</f>
        <v>320179.39</v>
      </c>
      <c r="J56" s="46">
        <f>IFERROR('Data Sheet'!I61,0)</f>
        <v>341569.91</v>
      </c>
      <c r="K56" s="46">
        <f>IFERROR('Data Sheet'!J61,0)</f>
        <v>329061.49</v>
      </c>
      <c r="L56" s="46">
        <f>IFERROR('Data Sheet'!K61,0)</f>
        <v>334674.43</v>
      </c>
      <c r="M56" s="28"/>
    </row>
    <row r="57" spans="1:13" x14ac:dyDescent="0.3">
      <c r="B57" s="1"/>
    </row>
    <row r="58" spans="1:13" x14ac:dyDescent="0.3">
      <c r="B58" s="4" t="s">
        <v>121</v>
      </c>
      <c r="C58" s="28">
        <f>IFERROR('Data Sheet'!B62,0)</f>
        <v>69091.67</v>
      </c>
      <c r="D58" s="28">
        <f>IFERROR('Data Sheet'!C62,0)</f>
        <v>88479.49</v>
      </c>
      <c r="E58" s="28">
        <f>IFERROR('Data Sheet'!D62,0)</f>
        <v>107231.76</v>
      </c>
      <c r="F58" s="28">
        <f>IFERROR('Data Sheet'!E62,0)</f>
        <v>95944.08</v>
      </c>
      <c r="G58" s="28">
        <f>IFERROR('Data Sheet'!F62,0)</f>
        <v>121413.86</v>
      </c>
      <c r="H58" s="28">
        <f>IFERROR('Data Sheet'!G62,0)</f>
        <v>111234.47</v>
      </c>
      <c r="I58" s="28">
        <f>IFERROR('Data Sheet'!H62,0)</f>
        <v>127107.14</v>
      </c>
      <c r="J58" s="28">
        <f>IFERROR('Data Sheet'!I62,0)</f>
        <v>138707.60999999999</v>
      </c>
      <c r="K58" s="28">
        <f>IFERROR('Data Sheet'!J62,0)</f>
        <v>138855.45000000001</v>
      </c>
      <c r="L58" s="28">
        <f>IFERROR('Data Sheet'!K62,0)</f>
        <v>132079.76</v>
      </c>
    </row>
    <row r="59" spans="1:13" x14ac:dyDescent="0.3">
      <c r="B59" s="6" t="s">
        <v>28</v>
      </c>
      <c r="C59" s="28">
        <f>IFERROR('Data Sheet'!B63,0)</f>
        <v>33262.559999999998</v>
      </c>
      <c r="D59" s="28">
        <f>IFERROR('Data Sheet'!C63,0)</f>
        <v>28640.09</v>
      </c>
      <c r="E59" s="28">
        <f>IFERROR('Data Sheet'!D63,0)</f>
        <v>25918.94</v>
      </c>
      <c r="F59" s="28">
        <f>IFERROR('Data Sheet'!E63,0)</f>
        <v>33698.839999999997</v>
      </c>
      <c r="G59" s="28">
        <f>IFERROR('Data Sheet'!F63,0)</f>
        <v>40033.5</v>
      </c>
      <c r="H59" s="28">
        <f>IFERROR('Data Sheet'!G63,0)</f>
        <v>31883.84</v>
      </c>
      <c r="I59" s="28">
        <f>IFERROR('Data Sheet'!H63,0)</f>
        <v>35622.29</v>
      </c>
      <c r="J59" s="28">
        <f>IFERROR('Data Sheet'!I63,0)</f>
        <v>20963.93</v>
      </c>
      <c r="K59" s="28">
        <f>IFERROR('Data Sheet'!J63,0)</f>
        <v>10251.09</v>
      </c>
      <c r="L59" s="28">
        <f>IFERROR('Data Sheet'!K63,0)</f>
        <v>14274.5</v>
      </c>
    </row>
    <row r="60" spans="1:13" x14ac:dyDescent="0.3">
      <c r="B60" s="6" t="s">
        <v>29</v>
      </c>
      <c r="C60" s="28">
        <f>IFERROR('Data Sheet'!B64,0)</f>
        <v>10686.67</v>
      </c>
      <c r="D60" s="28">
        <f>IFERROR('Data Sheet'!C64,0)</f>
        <v>15336.74</v>
      </c>
      <c r="E60" s="28">
        <f>IFERROR('Data Sheet'!D64,0)</f>
        <v>23767.02</v>
      </c>
      <c r="F60" s="28">
        <f>IFERROR('Data Sheet'!E64,0)</f>
        <v>20337.919999999998</v>
      </c>
      <c r="G60" s="28">
        <f>IFERROR('Data Sheet'!F64,0)</f>
        <v>20812.75</v>
      </c>
      <c r="H60" s="28">
        <f>IFERROR('Data Sheet'!G64,0)</f>
        <v>15770.72</v>
      </c>
      <c r="I60" s="28">
        <f>IFERROR('Data Sheet'!H64,0)</f>
        <v>16308.48</v>
      </c>
      <c r="J60" s="28">
        <f>IFERROR('Data Sheet'!I64,0)</f>
        <v>24620.28</v>
      </c>
      <c r="K60" s="28">
        <f>IFERROR('Data Sheet'!J64,0)</f>
        <v>29379.53</v>
      </c>
      <c r="L60" s="28">
        <f>IFERROR('Data Sheet'!K64,0)</f>
        <v>26379.16</v>
      </c>
    </row>
    <row r="61" spans="1:13" ht="15" thickBot="1" x14ac:dyDescent="0.35">
      <c r="B61" s="6" t="s">
        <v>73</v>
      </c>
      <c r="C61" s="28">
        <f>IFERROR('Data Sheet'!B65-SUM('Data Sheet'!B67:B69),0)</f>
        <v>37828.179999999993</v>
      </c>
      <c r="D61" s="28">
        <f>IFERROR('Data Sheet'!C65-SUM('Data Sheet'!C67:C69),0)</f>
        <v>30891.17</v>
      </c>
      <c r="E61" s="28">
        <f>IFERROR('Data Sheet'!D65-SUM('Data Sheet'!D67:D69),0)</f>
        <v>29579.359999999986</v>
      </c>
      <c r="F61" s="28">
        <f>IFERROR('Data Sheet'!E65-SUM('Data Sheet'!E67:E69),0)</f>
        <v>37360.780000000013</v>
      </c>
      <c r="G61" s="28">
        <f>IFERROR('Data Sheet'!F65-SUM('Data Sheet'!F67:F69),0)</f>
        <v>48286.860000000015</v>
      </c>
      <c r="H61" s="28">
        <f>IFERROR('Data Sheet'!G65-SUM('Data Sheet'!G67:G69),0)</f>
        <v>56155.739999999991</v>
      </c>
      <c r="I61" s="28">
        <f>IFERROR('Data Sheet'!H65-SUM('Data Sheet'!H67:H69),0)</f>
        <v>58784.94</v>
      </c>
      <c r="J61" s="28">
        <f>IFERROR('Data Sheet'!I65-SUM('Data Sheet'!I67:I69),0)</f>
        <v>61717.959999999992</v>
      </c>
      <c r="K61" s="28">
        <f>IFERROR('Data Sheet'!J65-SUM('Data Sheet'!J67:J69),0)</f>
        <v>62223.770000000019</v>
      </c>
      <c r="L61" s="28">
        <f>IFERROR('Data Sheet'!K65-SUM('Data Sheet'!K67:K69),0)</f>
        <v>68432.090000000011</v>
      </c>
    </row>
    <row r="62" spans="1:13" ht="15" thickBot="1" x14ac:dyDescent="0.35">
      <c r="B62" s="45" t="s">
        <v>122</v>
      </c>
      <c r="C62" s="46">
        <f>IFERROR(SUM(C58:C61),0)</f>
        <v>150869.07999999999</v>
      </c>
      <c r="D62" s="46">
        <f t="shared" ref="D62:L62" si="18">IFERROR(SUM(D58:D61),0)</f>
        <v>163347.49</v>
      </c>
      <c r="E62" s="46">
        <f t="shared" si="18"/>
        <v>186497.07999999996</v>
      </c>
      <c r="F62" s="46">
        <f t="shared" si="18"/>
        <v>187341.62</v>
      </c>
      <c r="G62" s="46">
        <f t="shared" si="18"/>
        <v>230546.97</v>
      </c>
      <c r="H62" s="46">
        <f t="shared" si="18"/>
        <v>215044.77</v>
      </c>
      <c r="I62" s="46">
        <f t="shared" si="18"/>
        <v>237822.85</v>
      </c>
      <c r="J62" s="46">
        <f t="shared" si="18"/>
        <v>246009.77999999997</v>
      </c>
      <c r="K62" s="46">
        <f t="shared" si="18"/>
        <v>240709.84000000003</v>
      </c>
      <c r="L62" s="46">
        <f t="shared" si="18"/>
        <v>241165.51</v>
      </c>
    </row>
    <row r="63" spans="1:13" x14ac:dyDescent="0.3">
      <c r="B63" s="4"/>
    </row>
    <row r="64" spans="1:13" x14ac:dyDescent="0.3">
      <c r="B64" s="6" t="s">
        <v>78</v>
      </c>
      <c r="C64" s="28">
        <f>IFERROR('Data Sheet'!B67,0)</f>
        <v>10574.23</v>
      </c>
      <c r="D64" s="28">
        <f>IFERROR('Data Sheet'!C67,0)</f>
        <v>12579.2</v>
      </c>
      <c r="E64" s="28">
        <f>IFERROR('Data Sheet'!D67,0)</f>
        <v>13570.91</v>
      </c>
      <c r="F64" s="28">
        <f>IFERROR('Data Sheet'!E67,0)</f>
        <v>14075.55</v>
      </c>
      <c r="G64" s="28">
        <f>IFERROR('Data Sheet'!F67,0)</f>
        <v>19893.3</v>
      </c>
      <c r="H64" s="28">
        <f>IFERROR('Data Sheet'!G67,0)</f>
        <v>18996.169999999998</v>
      </c>
      <c r="I64" s="28">
        <f>IFERROR('Data Sheet'!H67,0)</f>
        <v>11172.69</v>
      </c>
      <c r="J64" s="28">
        <f>IFERROR('Data Sheet'!I67,0)</f>
        <v>12679.08</v>
      </c>
      <c r="K64" s="28">
        <f>IFERROR('Data Sheet'!J67,0)</f>
        <v>12442.12</v>
      </c>
      <c r="L64" s="28">
        <f>IFERROR('Data Sheet'!K67,0)</f>
        <v>15737.97</v>
      </c>
    </row>
    <row r="65" spans="1:13" x14ac:dyDescent="0.3">
      <c r="B65" s="6" t="s">
        <v>45</v>
      </c>
      <c r="C65" s="28">
        <f>IFERROR('Data Sheet'!B68,0)</f>
        <v>27270.89</v>
      </c>
      <c r="D65" s="28">
        <f>IFERROR('Data Sheet'!C68,0)</f>
        <v>29272.34</v>
      </c>
      <c r="E65" s="28">
        <f>IFERROR('Data Sheet'!D68,0)</f>
        <v>32655.73</v>
      </c>
      <c r="F65" s="28">
        <f>IFERROR('Data Sheet'!E68,0)</f>
        <v>35085.31</v>
      </c>
      <c r="G65" s="28">
        <f>IFERROR('Data Sheet'!F68,0)</f>
        <v>42137.63</v>
      </c>
      <c r="H65" s="28">
        <f>IFERROR('Data Sheet'!G68,0)</f>
        <v>39013.730000000003</v>
      </c>
      <c r="I65" s="28">
        <f>IFERROR('Data Sheet'!H68,0)</f>
        <v>37456.879999999997</v>
      </c>
      <c r="J65" s="28">
        <f>IFERROR('Data Sheet'!I68,0)</f>
        <v>36088.589999999997</v>
      </c>
      <c r="K65" s="28">
        <f>IFERROR('Data Sheet'!J68,0)</f>
        <v>35240.339999999997</v>
      </c>
      <c r="L65" s="28">
        <f>IFERROR('Data Sheet'!K68,0)</f>
        <v>40755.39</v>
      </c>
    </row>
    <row r="66" spans="1:13" ht="15" thickBot="1" x14ac:dyDescent="0.35">
      <c r="B66" s="6" t="s">
        <v>87</v>
      </c>
      <c r="C66" s="28">
        <f>IFERROR('Data Sheet'!B69,0)</f>
        <v>29711.79</v>
      </c>
      <c r="D66" s="28">
        <f>IFERROR('Data Sheet'!C69,0)</f>
        <v>32115.759999999998</v>
      </c>
      <c r="E66" s="28">
        <f>IFERROR('Data Sheet'!D69,0)</f>
        <v>30460.400000000001</v>
      </c>
      <c r="F66" s="28">
        <f>IFERROR('Data Sheet'!E69,0)</f>
        <v>36077.879999999997</v>
      </c>
      <c r="G66" s="28">
        <f>IFERROR('Data Sheet'!F69,0)</f>
        <v>34613.910000000003</v>
      </c>
      <c r="H66" s="28">
        <f>IFERROR('Data Sheet'!G69,0)</f>
        <v>32648.82</v>
      </c>
      <c r="I66" s="28">
        <f>IFERROR('Data Sheet'!H69,0)</f>
        <v>33726.97</v>
      </c>
      <c r="J66" s="28">
        <f>IFERROR('Data Sheet'!I69,0)</f>
        <v>46792.46</v>
      </c>
      <c r="K66" s="28">
        <f>IFERROR('Data Sheet'!J69,0)</f>
        <v>40669.19</v>
      </c>
      <c r="L66" s="28">
        <f>IFERROR('Data Sheet'!K69,0)</f>
        <v>37015.56</v>
      </c>
    </row>
    <row r="67" spans="1:13" ht="15" thickBot="1" x14ac:dyDescent="0.35">
      <c r="B67" s="43" t="s">
        <v>123</v>
      </c>
      <c r="C67" s="46">
        <f>IFERROR(SUM(C64:C66),0)</f>
        <v>67556.91</v>
      </c>
      <c r="D67" s="46">
        <f t="shared" ref="D67:L67" si="19">IFERROR(SUM(D64:D66),0)</f>
        <v>73967.3</v>
      </c>
      <c r="E67" s="46">
        <f t="shared" si="19"/>
        <v>76687.040000000008</v>
      </c>
      <c r="F67" s="46">
        <f t="shared" si="19"/>
        <v>85238.739999999991</v>
      </c>
      <c r="G67" s="46">
        <f t="shared" si="19"/>
        <v>96644.84</v>
      </c>
      <c r="H67" s="46">
        <f t="shared" si="19"/>
        <v>90658.72</v>
      </c>
      <c r="I67" s="46">
        <f t="shared" si="19"/>
        <v>82356.540000000008</v>
      </c>
      <c r="J67" s="46">
        <f t="shared" si="19"/>
        <v>95560.13</v>
      </c>
      <c r="K67" s="46">
        <f t="shared" si="19"/>
        <v>88351.65</v>
      </c>
      <c r="L67" s="46">
        <f t="shared" si="19"/>
        <v>93508.92</v>
      </c>
    </row>
    <row r="68" spans="1:13" ht="15" thickBot="1" x14ac:dyDescent="0.35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</row>
    <row r="69" spans="1:13" ht="15" thickBot="1" x14ac:dyDescent="0.35">
      <c r="B69" s="43" t="s">
        <v>124</v>
      </c>
      <c r="C69" s="46">
        <f>IFERROR(SUM(C62,C67),0)</f>
        <v>218425.99</v>
      </c>
      <c r="D69" s="46">
        <f t="shared" ref="D69:L69" si="20">IFERROR(SUM(D62,D67),0)</f>
        <v>237314.78999999998</v>
      </c>
      <c r="E69" s="46">
        <f t="shared" si="20"/>
        <v>263184.12</v>
      </c>
      <c r="F69" s="46">
        <f t="shared" si="20"/>
        <v>272580.36</v>
      </c>
      <c r="G69" s="46">
        <f t="shared" si="20"/>
        <v>327191.81</v>
      </c>
      <c r="H69" s="46">
        <f t="shared" si="20"/>
        <v>305703.49</v>
      </c>
      <c r="I69" s="46">
        <f t="shared" si="20"/>
        <v>320179.39</v>
      </c>
      <c r="J69" s="46">
        <f t="shared" si="20"/>
        <v>341569.91</v>
      </c>
      <c r="K69" s="46">
        <f t="shared" si="20"/>
        <v>329061.49</v>
      </c>
      <c r="L69" s="46">
        <f t="shared" si="20"/>
        <v>334674.43</v>
      </c>
    </row>
    <row r="71" spans="1:13" x14ac:dyDescent="0.3">
      <c r="B71" s="29" t="s">
        <v>125</v>
      </c>
      <c r="C71" s="29" t="b">
        <f>C69=C56</f>
        <v>1</v>
      </c>
      <c r="D71" s="29" t="b">
        <f t="shared" ref="D71:L71" si="21">D69=D56</f>
        <v>1</v>
      </c>
      <c r="E71" s="29" t="b">
        <f t="shared" si="21"/>
        <v>1</v>
      </c>
      <c r="F71" s="29" t="b">
        <f t="shared" si="21"/>
        <v>1</v>
      </c>
      <c r="G71" s="29" t="b">
        <f t="shared" si="21"/>
        <v>1</v>
      </c>
      <c r="H71" s="29" t="b">
        <f t="shared" si="21"/>
        <v>1</v>
      </c>
      <c r="I71" s="29" t="b">
        <f t="shared" si="21"/>
        <v>1</v>
      </c>
      <c r="J71" s="29" t="b">
        <f t="shared" si="21"/>
        <v>1</v>
      </c>
      <c r="K71" s="29" t="b">
        <f t="shared" si="21"/>
        <v>1</v>
      </c>
      <c r="L71" s="29" t="b">
        <f t="shared" si="21"/>
        <v>1</v>
      </c>
    </row>
    <row r="75" spans="1:13" x14ac:dyDescent="0.3">
      <c r="A75" t="s">
        <v>96</v>
      </c>
      <c r="B75" s="34" t="s">
        <v>155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</row>
    <row r="77" spans="1:13" x14ac:dyDescent="0.3">
      <c r="B77" s="2" t="s">
        <v>156</v>
      </c>
    </row>
    <row r="78" spans="1:13" x14ac:dyDescent="0.3">
      <c r="B78" t="s">
        <v>127</v>
      </c>
      <c r="C78" s="28">
        <f>IFERROR('Cash flow data'!E4,0)</f>
        <v>36303</v>
      </c>
      <c r="D78" s="28">
        <f>IFERROR('Cash flow data'!F4,0)</f>
        <v>43397</v>
      </c>
      <c r="E78" s="28">
        <f>IFERROR('Cash flow data'!G4,0)</f>
        <v>38626</v>
      </c>
      <c r="F78" s="28">
        <f>IFERROR('Cash flow data'!H4,0)</f>
        <v>28840</v>
      </c>
      <c r="G78" s="28">
        <f>IFERROR('Cash flow data'!I4,0)</f>
        <v>33312</v>
      </c>
      <c r="H78" s="28">
        <f>IFERROR('Cash flow data'!J4,0)</f>
        <v>28771</v>
      </c>
      <c r="I78" s="28">
        <f>IFERROR('Cash flow data'!K4,0)</f>
        <v>23352</v>
      </c>
      <c r="J78" s="28">
        <f>IFERROR('Cash flow data'!L4,0)</f>
        <v>31198</v>
      </c>
      <c r="K78" s="28">
        <f>IFERROR('Cash flow data'!M4,0)</f>
        <v>26943</v>
      </c>
      <c r="L78" s="28">
        <f>IFERROR('Cash flow data'!N4,0)</f>
        <v>41694</v>
      </c>
    </row>
    <row r="79" spans="1:13" x14ac:dyDescent="0.3">
      <c r="B79" t="s">
        <v>78</v>
      </c>
      <c r="C79" s="28">
        <f>IFERROR('Cash flow data'!E5,0)</f>
        <v>445</v>
      </c>
      <c r="D79" s="28">
        <f>IFERROR('Cash flow data'!F5,0)</f>
        <v>-3179</v>
      </c>
      <c r="E79" s="28">
        <f>IFERROR('Cash flow data'!G5,0)</f>
        <v>-2223</v>
      </c>
      <c r="F79" s="28">
        <f>IFERROR('Cash flow data'!H5,0)</f>
        <v>-4152</v>
      </c>
      <c r="G79" s="28">
        <f>IFERROR('Cash flow data'!I5,0)</f>
        <v>-10688</v>
      </c>
      <c r="H79" s="28">
        <f>IFERROR('Cash flow data'!J5,0)</f>
        <v>-9109</v>
      </c>
      <c r="I79" s="28">
        <f>IFERROR('Cash flow data'!K5,0)</f>
        <v>9950</v>
      </c>
      <c r="J79" s="28">
        <f>IFERROR('Cash flow data'!L5,0)</f>
        <v>-5505</v>
      </c>
      <c r="K79" s="28">
        <f>IFERROR('Cash flow data'!M5,0)</f>
        <v>185</v>
      </c>
      <c r="L79" s="28">
        <f>IFERROR('Cash flow data'!N5,0)</f>
        <v>-2213</v>
      </c>
    </row>
    <row r="80" spans="1:13" x14ac:dyDescent="0.3">
      <c r="B80" t="s">
        <v>45</v>
      </c>
      <c r="C80" s="28">
        <f>IFERROR('Cash flow data'!E6,0)</f>
        <v>-2853</v>
      </c>
      <c r="D80" s="28">
        <f>IFERROR('Cash flow data'!F6,0)</f>
        <v>-3692</v>
      </c>
      <c r="E80" s="28">
        <f>IFERROR('Cash flow data'!G6,0)</f>
        <v>-5743</v>
      </c>
      <c r="F80" s="28">
        <f>IFERROR('Cash flow data'!H6,0)</f>
        <v>-6621</v>
      </c>
      <c r="G80" s="28">
        <f>IFERROR('Cash flow data'!I6,0)</f>
        <v>-3560</v>
      </c>
      <c r="H80" s="28">
        <f>IFERROR('Cash flow data'!J6,0)</f>
        <v>2069</v>
      </c>
      <c r="I80" s="28">
        <f>IFERROR('Cash flow data'!K6,0)</f>
        <v>2326</v>
      </c>
      <c r="J80" s="28">
        <f>IFERROR('Cash flow data'!L6,0)</f>
        <v>3814</v>
      </c>
      <c r="K80" s="28">
        <f>IFERROR('Cash flow data'!M6,0)</f>
        <v>472</v>
      </c>
      <c r="L80" s="28">
        <f>IFERROR('Cash flow data'!N6,0)</f>
        <v>-5665</v>
      </c>
    </row>
    <row r="81" spans="2:12" x14ac:dyDescent="0.3">
      <c r="B81" t="s">
        <v>128</v>
      </c>
      <c r="C81" s="28">
        <f>IFERROR('Cash flow data'!E7,0)</f>
        <v>4694</v>
      </c>
      <c r="D81" s="28">
        <f>IFERROR('Cash flow data'!F7,0)</f>
        <v>3598</v>
      </c>
      <c r="E81" s="28">
        <f>IFERROR('Cash flow data'!G7,0)</f>
        <v>3947</v>
      </c>
      <c r="F81" s="28">
        <f>IFERROR('Cash flow data'!H7,0)</f>
        <v>9301</v>
      </c>
      <c r="G81" s="28">
        <f>IFERROR('Cash flow data'!I7,0)</f>
        <v>7320</v>
      </c>
      <c r="H81" s="28">
        <f>IFERROR('Cash flow data'!J7,0)</f>
        <v>-4692</v>
      </c>
      <c r="I81" s="28">
        <f>IFERROR('Cash flow data'!K7,0)</f>
        <v>-8085</v>
      </c>
      <c r="J81" s="28">
        <f>IFERROR('Cash flow data'!L7,0)</f>
        <v>5748</v>
      </c>
      <c r="K81" s="28">
        <f>IFERROR('Cash flow data'!M7,0)</f>
        <v>-7012</v>
      </c>
      <c r="L81" s="28">
        <f>IFERROR('Cash flow data'!N7,0)</f>
        <v>6945</v>
      </c>
    </row>
    <row r="82" spans="2:12" x14ac:dyDescent="0.3">
      <c r="B82" t="s">
        <v>129</v>
      </c>
      <c r="C82" s="28">
        <f>IFERROR('Cash flow data'!E8,0)</f>
        <v>0</v>
      </c>
      <c r="D82" s="28">
        <f>IFERROR('Cash flow data'!F8,0)</f>
        <v>0</v>
      </c>
      <c r="E82" s="28">
        <f>IFERROR('Cash flow data'!G8,0)</f>
        <v>-520</v>
      </c>
      <c r="F82" s="28">
        <f>IFERROR('Cash flow data'!H8,0)</f>
        <v>0</v>
      </c>
      <c r="G82" s="28">
        <f>IFERROR('Cash flow data'!I8,0)</f>
        <v>0</v>
      </c>
      <c r="H82" s="28">
        <f>IFERROR('Cash flow data'!J8,0)</f>
        <v>0</v>
      </c>
      <c r="I82" s="28">
        <f>IFERROR('Cash flow data'!K8,0)</f>
        <v>0</v>
      </c>
      <c r="J82" s="28">
        <f>IFERROR('Cash flow data'!L8,0)</f>
        <v>0</v>
      </c>
      <c r="K82" s="28">
        <f>IFERROR('Cash flow data'!M8,0)</f>
        <v>0</v>
      </c>
      <c r="L82" s="28">
        <f>IFERROR('Cash flow data'!N8,0)</f>
        <v>0</v>
      </c>
    </row>
    <row r="83" spans="2:12" x14ac:dyDescent="0.3">
      <c r="B83" t="s">
        <v>130</v>
      </c>
      <c r="C83" s="28">
        <f>IFERROR('Cash flow data'!E9,0)</f>
        <v>1870</v>
      </c>
      <c r="D83" s="28">
        <f>IFERROR('Cash flow data'!F9,0)</f>
        <v>-398</v>
      </c>
      <c r="E83" s="28">
        <f>IFERROR('Cash flow data'!G9,0)</f>
        <v>5852</v>
      </c>
      <c r="F83" s="28">
        <f>IFERROR('Cash flow data'!H9,0)</f>
        <v>4727</v>
      </c>
      <c r="G83" s="28">
        <f>IFERROR('Cash flow data'!I9,0)</f>
        <v>494</v>
      </c>
      <c r="H83" s="28">
        <f>IFERROR('Cash flow data'!J9,0)</f>
        <v>4512</v>
      </c>
      <c r="I83" s="28">
        <f>IFERROR('Cash flow data'!K9,0)</f>
        <v>875</v>
      </c>
      <c r="J83" s="28">
        <f>IFERROR('Cash flow data'!L9,0)</f>
        <v>-4150</v>
      </c>
      <c r="K83" s="28">
        <f>IFERROR('Cash flow data'!M9,0)</f>
        <v>-4396</v>
      </c>
      <c r="L83" s="28">
        <f>IFERROR('Cash flow data'!N9,0)</f>
        <v>-2194</v>
      </c>
    </row>
    <row r="84" spans="2:12" x14ac:dyDescent="0.3">
      <c r="B84" t="s">
        <v>131</v>
      </c>
      <c r="C84" s="28">
        <f>IFERROR('Cash flow data'!E10,0)</f>
        <v>4157</v>
      </c>
      <c r="D84" s="28">
        <f>IFERROR('Cash flow data'!F10,0)</f>
        <v>-3672</v>
      </c>
      <c r="E84" s="28">
        <f>IFERROR('Cash flow data'!G10,0)</f>
        <v>1313</v>
      </c>
      <c r="F84" s="28">
        <f>IFERROR('Cash flow data'!H10,0)</f>
        <v>3254</v>
      </c>
      <c r="G84" s="28">
        <f>IFERROR('Cash flow data'!I10,0)</f>
        <v>-6434</v>
      </c>
      <c r="H84" s="28">
        <f>IFERROR('Cash flow data'!J10,0)</f>
        <v>-7221</v>
      </c>
      <c r="I84" s="28">
        <f>IFERROR('Cash flow data'!K10,0)</f>
        <v>5065</v>
      </c>
      <c r="J84" s="28">
        <f>IFERROR('Cash flow data'!L10,0)</f>
        <v>-93</v>
      </c>
      <c r="K84" s="28">
        <f>IFERROR('Cash flow data'!M10,0)</f>
        <v>-10750</v>
      </c>
      <c r="L84" s="28">
        <f>IFERROR('Cash flow data'!N10,0)</f>
        <v>-3127</v>
      </c>
    </row>
    <row r="85" spans="2:12" x14ac:dyDescent="0.3">
      <c r="B85" t="s">
        <v>132</v>
      </c>
      <c r="C85" s="28">
        <f>IFERROR('Cash flow data'!E11,0)</f>
        <v>-4308</v>
      </c>
      <c r="D85" s="28">
        <f>IFERROR('Cash flow data'!F11,0)</f>
        <v>-4194</v>
      </c>
      <c r="E85" s="28">
        <f>IFERROR('Cash flow data'!G11,0)</f>
        <v>-2040</v>
      </c>
      <c r="F85" s="28">
        <f>IFERROR('Cash flow data'!H11,0)</f>
        <v>-1895</v>
      </c>
      <c r="G85" s="28">
        <f>IFERROR('Cash flow data'!I11,0)</f>
        <v>-3021</v>
      </c>
      <c r="H85" s="28">
        <f>IFERROR('Cash flow data'!J11,0)</f>
        <v>-2659</v>
      </c>
      <c r="I85" s="28">
        <f>IFERROR('Cash flow data'!K11,0)</f>
        <v>-1785</v>
      </c>
      <c r="J85" s="28">
        <f>IFERROR('Cash flow data'!L11,0)</f>
        <v>-2105</v>
      </c>
      <c r="K85" s="28">
        <f>IFERROR('Cash flow data'!M11,0)</f>
        <v>-1910</v>
      </c>
      <c r="L85" s="28">
        <f>IFERROR('Cash flow data'!N11,0)</f>
        <v>-3179</v>
      </c>
    </row>
    <row r="86" spans="2:12" x14ac:dyDescent="0.3">
      <c r="B86" s="2" t="s">
        <v>157</v>
      </c>
      <c r="C86" s="37">
        <f>IFERROR(SUM(C78:C85),0)</f>
        <v>40308</v>
      </c>
      <c r="D86" s="37">
        <f t="shared" ref="D86:L86" si="22">IFERROR(SUM(D78:D85),0)</f>
        <v>31860</v>
      </c>
      <c r="E86" s="37">
        <f t="shared" si="22"/>
        <v>39212</v>
      </c>
      <c r="F86" s="37">
        <f t="shared" si="22"/>
        <v>33454</v>
      </c>
      <c r="G86" s="37">
        <f t="shared" si="22"/>
        <v>17423</v>
      </c>
      <c r="H86" s="37">
        <f t="shared" si="22"/>
        <v>11671</v>
      </c>
      <c r="I86" s="37">
        <f t="shared" si="22"/>
        <v>31698</v>
      </c>
      <c r="J86" s="37">
        <f t="shared" si="22"/>
        <v>28907</v>
      </c>
      <c r="K86" s="37">
        <f t="shared" si="22"/>
        <v>3532</v>
      </c>
      <c r="L86" s="37">
        <f t="shared" si="22"/>
        <v>32261</v>
      </c>
    </row>
    <row r="89" spans="2:12" x14ac:dyDescent="0.3">
      <c r="B89" s="2" t="s">
        <v>158</v>
      </c>
    </row>
    <row r="90" spans="2:12" x14ac:dyDescent="0.3">
      <c r="B90" t="s">
        <v>134</v>
      </c>
      <c r="C90" s="28">
        <f>IFERROR('Cash flow data'!E13,0)</f>
        <v>-26975</v>
      </c>
      <c r="D90" s="28">
        <f>IFERROR('Cash flow data'!F13,0)</f>
        <v>-31962</v>
      </c>
      <c r="E90" s="28">
        <f>IFERROR('Cash flow data'!G13,0)</f>
        <v>-31503</v>
      </c>
      <c r="F90" s="28">
        <f>IFERROR('Cash flow data'!H13,0)</f>
        <v>-16072</v>
      </c>
      <c r="G90" s="28">
        <f>IFERROR('Cash flow data'!I13,0)</f>
        <v>-35079</v>
      </c>
      <c r="H90" s="28">
        <f>IFERROR('Cash flow data'!J13,0)</f>
        <v>-35304</v>
      </c>
      <c r="I90" s="28">
        <f>IFERROR('Cash flow data'!K13,0)</f>
        <v>-29702</v>
      </c>
      <c r="J90" s="28">
        <f>IFERROR('Cash flow data'!L13,0)</f>
        <v>-20205</v>
      </c>
      <c r="K90" s="28">
        <f>IFERROR('Cash flow data'!M13,0)</f>
        <v>-15168</v>
      </c>
      <c r="L90" s="28">
        <f>IFERROR('Cash flow data'!N13,0)</f>
        <v>-19230</v>
      </c>
    </row>
    <row r="91" spans="2:12" x14ac:dyDescent="0.3">
      <c r="B91" t="s">
        <v>135</v>
      </c>
      <c r="C91" s="28">
        <f>IFERROR('Cash flow data'!E14,0)</f>
        <v>50</v>
      </c>
      <c r="D91" s="28">
        <f>IFERROR('Cash flow data'!F14,0)</f>
        <v>74</v>
      </c>
      <c r="E91" s="28">
        <f>IFERROR('Cash flow data'!G14,0)</f>
        <v>59</v>
      </c>
      <c r="F91" s="28">
        <f>IFERROR('Cash flow data'!H14,0)</f>
        <v>53</v>
      </c>
      <c r="G91" s="28">
        <f>IFERROR('Cash flow data'!I14,0)</f>
        <v>30</v>
      </c>
      <c r="H91" s="28">
        <f>IFERROR('Cash flow data'!J14,0)</f>
        <v>67</v>
      </c>
      <c r="I91" s="28">
        <f>IFERROR('Cash flow data'!K14,0)</f>
        <v>171</v>
      </c>
      <c r="J91" s="28">
        <f>IFERROR('Cash flow data'!L14,0)</f>
        <v>351</v>
      </c>
      <c r="K91" s="28">
        <f>IFERROR('Cash flow data'!M14,0)</f>
        <v>230</v>
      </c>
      <c r="L91" s="28">
        <f>IFERROR('Cash flow data'!N14,0)</f>
        <v>285</v>
      </c>
    </row>
    <row r="92" spans="2:12" x14ac:dyDescent="0.3">
      <c r="B92" t="s">
        <v>136</v>
      </c>
      <c r="C92" s="28">
        <f>IFERROR('Cash flow data'!E15,0)</f>
        <v>-429</v>
      </c>
      <c r="D92" s="28">
        <f>IFERROR('Cash flow data'!F15,0)</f>
        <v>-5461</v>
      </c>
      <c r="E92" s="28">
        <f>IFERROR('Cash flow data'!G15,0)</f>
        <v>-4728</v>
      </c>
      <c r="F92" s="28">
        <f>IFERROR('Cash flow data'!H15,0)</f>
        <v>-6</v>
      </c>
      <c r="G92" s="28">
        <f>IFERROR('Cash flow data'!I15,0)</f>
        <v>-329</v>
      </c>
      <c r="H92" s="28">
        <f>IFERROR('Cash flow data'!J15,0)</f>
        <v>-130</v>
      </c>
      <c r="I92" s="28">
        <f>IFERROR('Cash flow data'!K15,0)</f>
        <v>-1439</v>
      </c>
      <c r="J92" s="28">
        <f>IFERROR('Cash flow data'!L15,0)</f>
        <v>-7530</v>
      </c>
      <c r="K92" s="28">
        <f>IFERROR('Cash flow data'!M15,0)</f>
        <v>-3008</v>
      </c>
      <c r="L92" s="28">
        <f>IFERROR('Cash flow data'!N15,0)</f>
        <v>-50</v>
      </c>
    </row>
    <row r="93" spans="2:12" x14ac:dyDescent="0.3">
      <c r="B93" t="s">
        <v>137</v>
      </c>
      <c r="C93" s="28">
        <f>IFERROR('Cash flow data'!E16,0)</f>
        <v>4</v>
      </c>
      <c r="D93" s="28">
        <f>IFERROR('Cash flow data'!F16,0)</f>
        <v>42</v>
      </c>
      <c r="E93" s="28">
        <f>IFERROR('Cash flow data'!G16,0)</f>
        <v>89</v>
      </c>
      <c r="F93" s="28">
        <f>IFERROR('Cash flow data'!H16,0)</f>
        <v>1965</v>
      </c>
      <c r="G93" s="28">
        <f>IFERROR('Cash flow data'!I16,0)</f>
        <v>2381</v>
      </c>
      <c r="H93" s="28">
        <f>IFERROR('Cash flow data'!J16,0)</f>
        <v>5644</v>
      </c>
      <c r="I93" s="28">
        <f>IFERROR('Cash flow data'!K16,0)</f>
        <v>21</v>
      </c>
      <c r="J93" s="28">
        <f>IFERROR('Cash flow data'!L16,0)</f>
        <v>226</v>
      </c>
      <c r="K93" s="28">
        <f>IFERROR('Cash flow data'!M16,0)</f>
        <v>104</v>
      </c>
      <c r="L93" s="28">
        <f>IFERROR('Cash flow data'!N16,0)</f>
        <v>6895</v>
      </c>
    </row>
    <row r="94" spans="2:12" x14ac:dyDescent="0.3">
      <c r="B94" t="s">
        <v>138</v>
      </c>
      <c r="C94" s="28">
        <f>IFERROR('Cash flow data'!E17,0)</f>
        <v>653</v>
      </c>
      <c r="D94" s="28">
        <f>IFERROR('Cash flow data'!F17,0)</f>
        <v>698</v>
      </c>
      <c r="E94" s="28">
        <f>IFERROR('Cash flow data'!G17,0)</f>
        <v>731</v>
      </c>
      <c r="F94" s="28">
        <f>IFERROR('Cash flow data'!H17,0)</f>
        <v>638</v>
      </c>
      <c r="G94" s="28">
        <f>IFERROR('Cash flow data'!I17,0)</f>
        <v>690</v>
      </c>
      <c r="H94" s="28">
        <f>IFERROR('Cash flow data'!J17,0)</f>
        <v>761</v>
      </c>
      <c r="I94" s="28">
        <f>IFERROR('Cash flow data'!K17,0)</f>
        <v>1104</v>
      </c>
      <c r="J94" s="28">
        <f>IFERROR('Cash flow data'!L17,0)</f>
        <v>428</v>
      </c>
      <c r="K94" s="28">
        <f>IFERROR('Cash flow data'!M17,0)</f>
        <v>653</v>
      </c>
      <c r="L94" s="28">
        <f>IFERROR('Cash flow data'!N17,0)</f>
        <v>973</v>
      </c>
    </row>
    <row r="95" spans="2:12" x14ac:dyDescent="0.3">
      <c r="B95" t="s">
        <v>139</v>
      </c>
      <c r="C95" s="28">
        <f>IFERROR('Cash flow data'!E18,0)</f>
        <v>40</v>
      </c>
      <c r="D95" s="28">
        <f>IFERROR('Cash flow data'!F18,0)</f>
        <v>80</v>
      </c>
      <c r="E95" s="28">
        <f>IFERROR('Cash flow data'!G18,0)</f>
        <v>58</v>
      </c>
      <c r="F95" s="28">
        <f>IFERROR('Cash flow data'!H18,0)</f>
        <v>620</v>
      </c>
      <c r="G95" s="28">
        <f>IFERROR('Cash flow data'!I18,0)</f>
        <v>1797</v>
      </c>
      <c r="H95" s="28">
        <f>IFERROR('Cash flow data'!J18,0)</f>
        <v>232</v>
      </c>
      <c r="I95" s="28">
        <f>IFERROR('Cash flow data'!K18,0)</f>
        <v>21</v>
      </c>
      <c r="J95" s="28">
        <f>IFERROR('Cash flow data'!L18,0)</f>
        <v>18</v>
      </c>
      <c r="K95" s="28">
        <f>IFERROR('Cash flow data'!M18,0)</f>
        <v>32</v>
      </c>
      <c r="L95" s="28">
        <f>IFERROR('Cash flow data'!N18,0)</f>
        <v>46</v>
      </c>
    </row>
    <row r="96" spans="2:12" x14ac:dyDescent="0.3">
      <c r="B96" t="s">
        <v>140</v>
      </c>
      <c r="C96" s="28">
        <f>IFERROR('Cash flow data'!E19,0)</f>
        <v>0</v>
      </c>
      <c r="D96" s="28">
        <f>IFERROR('Cash flow data'!F19,0)</f>
        <v>0</v>
      </c>
      <c r="E96" s="28">
        <f>IFERROR('Cash flow data'!G19,0)</f>
        <v>0</v>
      </c>
      <c r="F96" s="28">
        <f>IFERROR('Cash flow data'!H19,0)</f>
        <v>0</v>
      </c>
      <c r="G96" s="28">
        <f>IFERROR('Cash flow data'!I19,0)</f>
        <v>0</v>
      </c>
      <c r="H96" s="28">
        <f>IFERROR('Cash flow data'!J19,0)</f>
        <v>0</v>
      </c>
      <c r="I96" s="28">
        <f>IFERROR('Cash flow data'!K19,0)</f>
        <v>0</v>
      </c>
      <c r="J96" s="28">
        <f>IFERROR('Cash flow data'!L19,0)</f>
        <v>0</v>
      </c>
      <c r="K96" s="28">
        <f>IFERROR('Cash flow data'!M19,0)</f>
        <v>0</v>
      </c>
      <c r="L96" s="28">
        <f>IFERROR('Cash flow data'!N19,0)</f>
        <v>0</v>
      </c>
    </row>
    <row r="97" spans="2:12" x14ac:dyDescent="0.3">
      <c r="B97" t="s">
        <v>141</v>
      </c>
      <c r="C97" s="28">
        <f>IFERROR('Cash flow data'!E20,0)</f>
        <v>0</v>
      </c>
      <c r="D97" s="28">
        <f>IFERROR('Cash flow data'!F20,0)</f>
        <v>-160</v>
      </c>
      <c r="E97" s="28">
        <f>IFERROR('Cash flow data'!G20,0)</f>
        <v>0</v>
      </c>
      <c r="F97" s="28">
        <f>IFERROR('Cash flow data'!H20,0)</f>
        <v>-107</v>
      </c>
      <c r="G97" s="28">
        <f>IFERROR('Cash flow data'!I20,0)</f>
        <v>-4</v>
      </c>
      <c r="H97" s="28">
        <f>IFERROR('Cash flow data'!J20,0)</f>
        <v>-9</v>
      </c>
      <c r="I97" s="28">
        <f>IFERROR('Cash flow data'!K20,0)</f>
        <v>-606</v>
      </c>
      <c r="J97" s="28">
        <f>IFERROR('Cash flow data'!L20,0)</f>
        <v>-10</v>
      </c>
      <c r="K97" s="28">
        <f>IFERROR('Cash flow data'!M20,0)</f>
        <v>0</v>
      </c>
      <c r="L97" s="28">
        <f>IFERROR('Cash flow data'!N20,0)</f>
        <v>0</v>
      </c>
    </row>
    <row r="98" spans="2:12" x14ac:dyDescent="0.3">
      <c r="B98" t="s">
        <v>142</v>
      </c>
      <c r="C98" s="28">
        <f>IFERROR('Cash flow data'!E21,0)</f>
        <v>0</v>
      </c>
      <c r="D98" s="28">
        <f>IFERROR('Cash flow data'!F21,0)</f>
        <v>0</v>
      </c>
      <c r="E98" s="28">
        <f>IFERROR('Cash flow data'!G21,0)</f>
        <v>0</v>
      </c>
      <c r="F98" s="28">
        <f>IFERROR('Cash flow data'!H21,0)</f>
        <v>0</v>
      </c>
      <c r="G98" s="28">
        <f>IFERROR('Cash flow data'!I21,0)</f>
        <v>14</v>
      </c>
      <c r="H98" s="28">
        <f>IFERROR('Cash flow data'!J21,0)</f>
        <v>533</v>
      </c>
      <c r="I98" s="28">
        <f>IFERROR('Cash flow data'!K21,0)</f>
        <v>0</v>
      </c>
      <c r="J98" s="28">
        <f>IFERROR('Cash flow data'!L21,0)</f>
        <v>0</v>
      </c>
      <c r="K98" s="28">
        <f>IFERROR('Cash flow data'!M21,0)</f>
        <v>0</v>
      </c>
      <c r="L98" s="28">
        <f>IFERROR('Cash flow data'!N21,0)</f>
        <v>19</v>
      </c>
    </row>
    <row r="99" spans="2:12" x14ac:dyDescent="0.3">
      <c r="B99" t="s">
        <v>143</v>
      </c>
      <c r="C99" s="28">
        <f>IFERROR('Cash flow data'!E22,0)</f>
        <v>-185</v>
      </c>
      <c r="D99" s="28">
        <f>IFERROR('Cash flow data'!F22,0)</f>
        <v>0</v>
      </c>
      <c r="E99" s="28">
        <f>IFERROR('Cash flow data'!G22,0)</f>
        <v>-111</v>
      </c>
      <c r="F99" s="28">
        <f>IFERROR('Cash flow data'!H22,0)</f>
        <v>0</v>
      </c>
      <c r="G99" s="28">
        <f>IFERROR('Cash flow data'!I22,0)</f>
        <v>0</v>
      </c>
      <c r="H99" s="28">
        <f>IFERROR('Cash flow data'!J22,0)</f>
        <v>-8</v>
      </c>
      <c r="I99" s="28">
        <f>IFERROR('Cash flow data'!K22,0)</f>
        <v>-27</v>
      </c>
      <c r="J99" s="28">
        <f>IFERROR('Cash flow data'!L22,0)</f>
        <v>0</v>
      </c>
      <c r="K99" s="28">
        <f>IFERROR('Cash flow data'!M22,0)</f>
        <v>-98</v>
      </c>
      <c r="L99" s="28">
        <f>IFERROR('Cash flow data'!N22,0)</f>
        <v>0</v>
      </c>
    </row>
    <row r="100" spans="2:12" x14ac:dyDescent="0.3">
      <c r="B100" t="s">
        <v>144</v>
      </c>
      <c r="C100" s="28">
        <f>IFERROR('Cash flow data'!E23,0)</f>
        <v>0</v>
      </c>
      <c r="D100" s="28">
        <f>IFERROR('Cash flow data'!F23,0)</f>
        <v>0</v>
      </c>
      <c r="E100" s="28">
        <f>IFERROR('Cash flow data'!G23,0)</f>
        <v>0</v>
      </c>
      <c r="F100" s="28">
        <f>IFERROR('Cash flow data'!H23,0)</f>
        <v>0</v>
      </c>
      <c r="G100" s="28">
        <f>IFERROR('Cash flow data'!I23,0)</f>
        <v>0</v>
      </c>
      <c r="H100" s="28">
        <f>IFERROR('Cash flow data'!J23,0)</f>
        <v>0</v>
      </c>
      <c r="I100" s="28">
        <f>IFERROR('Cash flow data'!K23,0)</f>
        <v>0</v>
      </c>
      <c r="J100" s="28">
        <f>IFERROR('Cash flow data'!L23,0)</f>
        <v>0</v>
      </c>
      <c r="K100" s="28">
        <f>IFERROR('Cash flow data'!M23,0)</f>
        <v>0</v>
      </c>
      <c r="L100" s="28">
        <f>IFERROR('Cash flow data'!N23,0)</f>
        <v>0</v>
      </c>
    </row>
    <row r="101" spans="2:12" x14ac:dyDescent="0.3">
      <c r="B101" t="s">
        <v>145</v>
      </c>
      <c r="C101" s="28">
        <f>IFERROR('Cash flow data'!E24,0)</f>
        <v>-1149</v>
      </c>
      <c r="D101" s="28">
        <f>IFERROR('Cash flow data'!F24,0)</f>
        <v>456</v>
      </c>
      <c r="E101" s="28">
        <f>IFERROR('Cash flow data'!G24,0)</f>
        <v>-1289</v>
      </c>
      <c r="F101" s="28">
        <f>IFERROR('Cash flow data'!H24,0)</f>
        <v>-26663</v>
      </c>
      <c r="G101" s="28">
        <f>IFERROR('Cash flow data'!I24,0)</f>
        <v>5360</v>
      </c>
      <c r="H101" s="28">
        <f>IFERROR('Cash flow data'!J24,0)</f>
        <v>7335</v>
      </c>
      <c r="I101" s="28">
        <f>IFERROR('Cash flow data'!K24,0)</f>
        <v>-2659</v>
      </c>
      <c r="J101" s="28">
        <f>IFERROR('Cash flow data'!L24,0)</f>
        <v>1051</v>
      </c>
      <c r="K101" s="28">
        <f>IFERROR('Cash flow data'!M24,0)</f>
        <v>12813</v>
      </c>
      <c r="L101" s="28">
        <f>IFERROR('Cash flow data'!N24,0)</f>
        <v>-4357</v>
      </c>
    </row>
    <row r="102" spans="2:12" x14ac:dyDescent="0.3">
      <c r="B102" s="2" t="s">
        <v>159</v>
      </c>
      <c r="C102" s="37">
        <f>IFERROR(SUM(C90:C101),0)</f>
        <v>-27991</v>
      </c>
      <c r="D102" s="37">
        <f t="shared" ref="D102:L102" si="23">IFERROR(SUM(D90:D101),0)</f>
        <v>-36233</v>
      </c>
      <c r="E102" s="37">
        <f t="shared" si="23"/>
        <v>-36694</v>
      </c>
      <c r="F102" s="37">
        <f t="shared" si="23"/>
        <v>-39572</v>
      </c>
      <c r="G102" s="37">
        <f t="shared" si="23"/>
        <v>-25140</v>
      </c>
      <c r="H102" s="37">
        <f t="shared" si="23"/>
        <v>-20879</v>
      </c>
      <c r="I102" s="37">
        <f t="shared" si="23"/>
        <v>-33116</v>
      </c>
      <c r="J102" s="37">
        <f t="shared" si="23"/>
        <v>-25671</v>
      </c>
      <c r="K102" s="37">
        <f t="shared" si="23"/>
        <v>-4442</v>
      </c>
      <c r="L102" s="37">
        <f t="shared" si="23"/>
        <v>-15419</v>
      </c>
    </row>
    <row r="105" spans="2:12" x14ac:dyDescent="0.3">
      <c r="B105" s="2" t="s">
        <v>160</v>
      </c>
    </row>
    <row r="106" spans="2:12" x14ac:dyDescent="0.3">
      <c r="B106" t="s">
        <v>147</v>
      </c>
      <c r="C106" s="28">
        <f>IFERROR('Cash flow data'!E26,0)</f>
        <v>0</v>
      </c>
      <c r="D106" s="28">
        <f>IFERROR('Cash flow data'!F26,0)</f>
        <v>0</v>
      </c>
      <c r="E106" s="28">
        <f>IFERROR('Cash flow data'!G26,0)</f>
        <v>7433</v>
      </c>
      <c r="F106" s="28">
        <f>IFERROR('Cash flow data'!H26,0)</f>
        <v>5</v>
      </c>
      <c r="G106" s="28">
        <f>IFERROR('Cash flow data'!I26,0)</f>
        <v>0</v>
      </c>
      <c r="H106" s="28">
        <f>IFERROR('Cash flow data'!J26,0)</f>
        <v>0</v>
      </c>
      <c r="I106" s="28">
        <f>IFERROR('Cash flow data'!K26,0)</f>
        <v>3889</v>
      </c>
      <c r="J106" s="28">
        <f>IFERROR('Cash flow data'!L26,0)</f>
        <v>2603</v>
      </c>
      <c r="K106" s="28">
        <f>IFERROR('Cash flow data'!M26,0)</f>
        <v>19</v>
      </c>
      <c r="L106" s="28">
        <f>IFERROR('Cash flow data'!N26,0)</f>
        <v>20</v>
      </c>
    </row>
    <row r="107" spans="2:12" x14ac:dyDescent="0.3">
      <c r="B107" t="s">
        <v>148</v>
      </c>
      <c r="C107" s="28">
        <f>IFERROR('Cash flow data'!E27,0)</f>
        <v>-658</v>
      </c>
      <c r="D107" s="28">
        <f>IFERROR('Cash flow data'!F27,0)</f>
        <v>-744</v>
      </c>
      <c r="E107" s="28">
        <f>IFERROR('Cash flow data'!G27,0)</f>
        <v>0</v>
      </c>
      <c r="F107" s="28">
        <f>IFERROR('Cash flow data'!H27,0)</f>
        <v>0</v>
      </c>
      <c r="G107" s="28">
        <f>IFERROR('Cash flow data'!I27,0)</f>
        <v>0</v>
      </c>
      <c r="H107" s="28">
        <f>IFERROR('Cash flow data'!J27,0)</f>
        <v>0</v>
      </c>
      <c r="I107" s="28">
        <f>IFERROR('Cash flow data'!K27,0)</f>
        <v>0</v>
      </c>
      <c r="J107" s="28">
        <f>IFERROR('Cash flow data'!L27,0)</f>
        <v>0</v>
      </c>
      <c r="K107" s="28">
        <f>IFERROR('Cash flow data'!M27,0)</f>
        <v>0</v>
      </c>
      <c r="L107" s="28">
        <f>IFERROR('Cash flow data'!N27,0)</f>
        <v>0</v>
      </c>
    </row>
    <row r="108" spans="2:12" x14ac:dyDescent="0.3">
      <c r="B108" t="s">
        <v>149</v>
      </c>
      <c r="C108" s="28">
        <f>IFERROR('Cash flow data'!E28,0)</f>
        <v>33258</v>
      </c>
      <c r="D108" s="28">
        <f>IFERROR('Cash flow data'!F28,0)</f>
        <v>36363</v>
      </c>
      <c r="E108" s="28">
        <f>IFERROR('Cash flow data'!G28,0)</f>
        <v>19519</v>
      </c>
      <c r="F108" s="28">
        <f>IFERROR('Cash flow data'!H28,0)</f>
        <v>33390</v>
      </c>
      <c r="G108" s="28">
        <f>IFERROR('Cash flow data'!I28,0)</f>
        <v>37482</v>
      </c>
      <c r="H108" s="28">
        <f>IFERROR('Cash flow data'!J28,0)</f>
        <v>51128</v>
      </c>
      <c r="I108" s="28">
        <f>IFERROR('Cash flow data'!K28,0)</f>
        <v>38297</v>
      </c>
      <c r="J108" s="28">
        <f>IFERROR('Cash flow data'!L28,0)</f>
        <v>46641</v>
      </c>
      <c r="K108" s="28">
        <f>IFERROR('Cash flow data'!M28,0)</f>
        <v>46578</v>
      </c>
      <c r="L108" s="28">
        <f>IFERROR('Cash flow data'!N28,0)</f>
        <v>43934</v>
      </c>
    </row>
    <row r="109" spans="2:12" x14ac:dyDescent="0.3">
      <c r="B109" t="s">
        <v>150</v>
      </c>
      <c r="C109" s="28">
        <f>IFERROR('Cash flow data'!E29,0)</f>
        <v>-29141</v>
      </c>
      <c r="D109" s="28">
        <f>IFERROR('Cash flow data'!F29,0)</f>
        <v>-23332</v>
      </c>
      <c r="E109" s="28">
        <f>IFERROR('Cash flow data'!G29,0)</f>
        <v>-24924</v>
      </c>
      <c r="F109" s="28">
        <f>IFERROR('Cash flow data'!H29,0)</f>
        <v>-21732</v>
      </c>
      <c r="G109" s="28">
        <f>IFERROR('Cash flow data'!I29,0)</f>
        <v>-29964</v>
      </c>
      <c r="H109" s="28">
        <f>IFERROR('Cash flow data'!J29,0)</f>
        <v>-35198</v>
      </c>
      <c r="I109" s="28">
        <f>IFERROR('Cash flow data'!K29,0)</f>
        <v>-29847</v>
      </c>
      <c r="J109" s="28">
        <f>IFERROR('Cash flow data'!L29,0)</f>
        <v>-29709</v>
      </c>
      <c r="K109" s="28">
        <f>IFERROR('Cash flow data'!M29,0)</f>
        <v>-42816</v>
      </c>
      <c r="L109" s="28">
        <f>IFERROR('Cash flow data'!N29,0)</f>
        <v>-62557</v>
      </c>
    </row>
    <row r="110" spans="2:12" x14ac:dyDescent="0.3">
      <c r="B110" t="s">
        <v>151</v>
      </c>
      <c r="C110" s="28">
        <f>IFERROR('Cash flow data'!E30,0)</f>
        <v>-6171</v>
      </c>
      <c r="D110" s="28">
        <f>IFERROR('Cash flow data'!F30,0)</f>
        <v>-6307</v>
      </c>
      <c r="E110" s="28">
        <f>IFERROR('Cash flow data'!G30,0)</f>
        <v>-5716</v>
      </c>
      <c r="F110" s="28">
        <f>IFERROR('Cash flow data'!H30,0)</f>
        <v>-5336</v>
      </c>
      <c r="G110" s="28">
        <f>IFERROR('Cash flow data'!I30,0)</f>
        <v>-5411</v>
      </c>
      <c r="H110" s="28">
        <f>IFERROR('Cash flow data'!J30,0)</f>
        <v>-7005</v>
      </c>
      <c r="I110" s="28">
        <f>IFERROR('Cash flow data'!K30,0)</f>
        <v>-7518</v>
      </c>
      <c r="J110" s="28">
        <f>IFERROR('Cash flow data'!L30,0)</f>
        <v>-8123</v>
      </c>
      <c r="K110" s="28">
        <f>IFERROR('Cash flow data'!M30,0)</f>
        <v>-9251</v>
      </c>
      <c r="L110" s="28">
        <f>IFERROR('Cash flow data'!N30,0)</f>
        <v>-9336</v>
      </c>
    </row>
    <row r="111" spans="2:12" x14ac:dyDescent="0.3">
      <c r="B111" t="s">
        <v>152</v>
      </c>
      <c r="C111" s="28">
        <f>IFERROR('Cash flow data'!E31,0)</f>
        <v>-722</v>
      </c>
      <c r="D111" s="28">
        <f>IFERROR('Cash flow data'!F31,0)</f>
        <v>-720</v>
      </c>
      <c r="E111" s="28">
        <f>IFERROR('Cash flow data'!G31,0)</f>
        <v>-108</v>
      </c>
      <c r="F111" s="28">
        <f>IFERROR('Cash flow data'!H31,0)</f>
        <v>-121</v>
      </c>
      <c r="G111" s="28">
        <f>IFERROR('Cash flow data'!I31,0)</f>
        <v>-96</v>
      </c>
      <c r="H111" s="28">
        <f>IFERROR('Cash flow data'!J31,0)</f>
        <v>-95</v>
      </c>
      <c r="I111" s="28">
        <f>IFERROR('Cash flow data'!K31,0)</f>
        <v>-57</v>
      </c>
      <c r="J111" s="28">
        <f>IFERROR('Cash flow data'!L31,0)</f>
        <v>-30</v>
      </c>
      <c r="K111" s="28">
        <f>IFERROR('Cash flow data'!M31,0)</f>
        <v>-100</v>
      </c>
      <c r="L111" s="28">
        <f>IFERROR('Cash flow data'!N31,0)</f>
        <v>-141</v>
      </c>
    </row>
    <row r="112" spans="2:12" x14ac:dyDescent="0.3">
      <c r="B112" t="s">
        <v>153</v>
      </c>
      <c r="C112" s="28">
        <f>IFERROR('Cash flow data'!E32,0)</f>
        <v>0</v>
      </c>
      <c r="D112" s="28">
        <f>IFERROR('Cash flow data'!F32,0)</f>
        <v>0</v>
      </c>
      <c r="E112" s="28">
        <f>IFERROR('Cash flow data'!G32,0)</f>
        <v>0</v>
      </c>
      <c r="F112" s="28">
        <f>IFERROR('Cash flow data'!H32,0)</f>
        <v>0</v>
      </c>
      <c r="G112" s="28">
        <f>IFERROR('Cash flow data'!I32,0)</f>
        <v>0</v>
      </c>
      <c r="H112" s="28">
        <f>IFERROR('Cash flow data'!J32,0)</f>
        <v>0</v>
      </c>
      <c r="I112" s="28">
        <f>IFERROR('Cash flow data'!K32,0)</f>
        <v>-1346</v>
      </c>
      <c r="J112" s="28">
        <f>IFERROR('Cash flow data'!L32,0)</f>
        <v>-1477</v>
      </c>
      <c r="K112" s="28">
        <f>IFERROR('Cash flow data'!M32,0)</f>
        <v>-1559</v>
      </c>
      <c r="L112" s="28">
        <f>IFERROR('Cash flow data'!N32,0)</f>
        <v>-1517</v>
      </c>
    </row>
    <row r="113" spans="1:13" x14ac:dyDescent="0.3">
      <c r="B113" t="s">
        <v>154</v>
      </c>
      <c r="C113" s="28">
        <f>IFERROR('Cash flow data'!E33,0)</f>
        <v>-450</v>
      </c>
      <c r="D113" s="28">
        <f>IFERROR('Cash flow data'!F33,0)</f>
        <v>-57</v>
      </c>
      <c r="E113" s="28">
        <f>IFERROR('Cash flow data'!G33,0)</f>
        <v>0</v>
      </c>
      <c r="F113" s="28">
        <f>IFERROR('Cash flow data'!H33,0)</f>
        <v>0</v>
      </c>
      <c r="G113" s="28">
        <f>IFERROR('Cash flow data'!I33,0)</f>
        <v>0</v>
      </c>
      <c r="H113" s="28">
        <f>IFERROR('Cash flow data'!J33,0)</f>
        <v>0</v>
      </c>
      <c r="I113" s="28">
        <f>IFERROR('Cash flow data'!K33,0)</f>
        <v>-29</v>
      </c>
      <c r="J113" s="28">
        <f>IFERROR('Cash flow data'!L33,0)</f>
        <v>0</v>
      </c>
      <c r="K113" s="28">
        <f>IFERROR('Cash flow data'!M33,0)</f>
        <v>3750</v>
      </c>
      <c r="L113" s="28">
        <f>IFERROR('Cash flow data'!N33,0)</f>
        <v>3355</v>
      </c>
    </row>
    <row r="114" spans="1:13" x14ac:dyDescent="0.3">
      <c r="B114" s="2" t="s">
        <v>161</v>
      </c>
      <c r="C114" s="37">
        <f>IFERROR(SUM(C107:C113),0)</f>
        <v>-3884</v>
      </c>
      <c r="D114" s="37">
        <f t="shared" ref="D114:L114" si="24">IFERROR(SUM(D107:D113),0)</f>
        <v>5203</v>
      </c>
      <c r="E114" s="37">
        <f t="shared" si="24"/>
        <v>-11229</v>
      </c>
      <c r="F114" s="37">
        <f t="shared" si="24"/>
        <v>6201</v>
      </c>
      <c r="G114" s="37">
        <f t="shared" si="24"/>
        <v>2011</v>
      </c>
      <c r="H114" s="37">
        <f t="shared" si="24"/>
        <v>8830</v>
      </c>
      <c r="I114" s="37">
        <f t="shared" si="24"/>
        <v>-500</v>
      </c>
      <c r="J114" s="37">
        <f t="shared" si="24"/>
        <v>7302</v>
      </c>
      <c r="K114" s="37">
        <f t="shared" si="24"/>
        <v>-3398</v>
      </c>
      <c r="L114" s="37">
        <f t="shared" si="24"/>
        <v>-26262</v>
      </c>
    </row>
    <row r="116" spans="1:13" x14ac:dyDescent="0.3">
      <c r="B116" s="2" t="s">
        <v>162</v>
      </c>
      <c r="C116" s="37">
        <f>IFERROR(C114+C102+C86,0)</f>
        <v>8433</v>
      </c>
      <c r="D116" s="37">
        <f t="shared" ref="D116:L116" si="25">IFERROR(D114+D102+D86,0)</f>
        <v>830</v>
      </c>
      <c r="E116" s="37">
        <f t="shared" si="25"/>
        <v>-8711</v>
      </c>
      <c r="F116" s="37">
        <f t="shared" si="25"/>
        <v>83</v>
      </c>
      <c r="G116" s="37">
        <f t="shared" si="25"/>
        <v>-5706</v>
      </c>
      <c r="H116" s="37">
        <f t="shared" si="25"/>
        <v>-378</v>
      </c>
      <c r="I116" s="37">
        <f t="shared" si="25"/>
        <v>-1918</v>
      </c>
      <c r="J116" s="37">
        <f t="shared" si="25"/>
        <v>10538</v>
      </c>
      <c r="K116" s="37">
        <f t="shared" si="25"/>
        <v>-4308</v>
      </c>
      <c r="L116" s="37">
        <f t="shared" si="25"/>
        <v>-9420</v>
      </c>
    </row>
    <row r="118" spans="1:13" x14ac:dyDescent="0.3">
      <c r="A118" t="s">
        <v>96</v>
      </c>
      <c r="B118" s="34" t="s">
        <v>155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</row>
    <row r="119" spans="1:13" x14ac:dyDescent="0.3">
      <c r="B119" t="s">
        <v>32</v>
      </c>
      <c r="C119" s="28">
        <f>IFERROR('Data Sheet'!B82,0)</f>
        <v>36151.160000000003</v>
      </c>
      <c r="D119" s="28">
        <f>IFERROR('Data Sheet'!C82,0)</f>
        <v>35531.26</v>
      </c>
      <c r="E119" s="28">
        <f>IFERROR('Data Sheet'!D82,0)</f>
        <v>37899.54</v>
      </c>
      <c r="F119" s="28">
        <f>IFERROR('Data Sheet'!E82,0)</f>
        <v>30199.25</v>
      </c>
      <c r="G119" s="28">
        <f>IFERROR('Data Sheet'!F82,0)</f>
        <v>23857.42</v>
      </c>
      <c r="H119" s="28">
        <f>IFERROR('Data Sheet'!G82,0)</f>
        <v>18890.75</v>
      </c>
      <c r="I119" s="28">
        <f>IFERROR('Data Sheet'!H82,0)</f>
        <v>26632.94</v>
      </c>
      <c r="J119" s="28">
        <f>IFERROR('Data Sheet'!I82,0)</f>
        <v>29000.51</v>
      </c>
      <c r="K119" s="28">
        <f>IFERROR('Data Sheet'!J82,0)</f>
        <v>14282.83</v>
      </c>
      <c r="L119" s="28">
        <f>IFERROR('Data Sheet'!K82,0)</f>
        <v>35388.01</v>
      </c>
    </row>
    <row r="120" spans="1:13" x14ac:dyDescent="0.3">
      <c r="B120" t="s">
        <v>33</v>
      </c>
      <c r="C120" s="28">
        <f>IFERROR('Data Sheet'!B83,0)</f>
        <v>-27990.91</v>
      </c>
      <c r="D120" s="28">
        <f>IFERROR('Data Sheet'!C83,0)</f>
        <v>-36232.35</v>
      </c>
      <c r="E120" s="28">
        <f>IFERROR('Data Sheet'!D83,0)</f>
        <v>-36693.9</v>
      </c>
      <c r="F120" s="28">
        <f>IFERROR('Data Sheet'!E83,0)</f>
        <v>-39571.4</v>
      </c>
      <c r="G120" s="28">
        <f>IFERROR('Data Sheet'!F83,0)</f>
        <v>-25139.14</v>
      </c>
      <c r="H120" s="28">
        <f>IFERROR('Data Sheet'!G83,0)</f>
        <v>-20878.07</v>
      </c>
      <c r="I120" s="28">
        <f>IFERROR('Data Sheet'!H83,0)</f>
        <v>-33114.550000000003</v>
      </c>
      <c r="J120" s="28">
        <f>IFERROR('Data Sheet'!I83,0)</f>
        <v>-25672.5</v>
      </c>
      <c r="K120" s="28">
        <f>IFERROR('Data Sheet'!J83,0)</f>
        <v>-4443.66</v>
      </c>
      <c r="L120" s="28">
        <f>IFERROR('Data Sheet'!K83,0)</f>
        <v>-15417.17</v>
      </c>
    </row>
    <row r="121" spans="1:13" x14ac:dyDescent="0.3">
      <c r="B121" t="s">
        <v>34</v>
      </c>
      <c r="C121" s="28">
        <f>IFERROR('Data Sheet'!B84,0)</f>
        <v>-3883.24</v>
      </c>
      <c r="D121" s="28">
        <f>IFERROR('Data Sheet'!C84,0)</f>
        <v>5201.4399999999996</v>
      </c>
      <c r="E121" s="28">
        <f>IFERROR('Data Sheet'!D84,0)</f>
        <v>-3795.12</v>
      </c>
      <c r="F121" s="28">
        <f>IFERROR('Data Sheet'!E84,0)</f>
        <v>6205.3</v>
      </c>
      <c r="G121" s="28">
        <f>IFERROR('Data Sheet'!F84,0)</f>
        <v>2011.71</v>
      </c>
      <c r="H121" s="28">
        <f>IFERROR('Data Sheet'!G84,0)</f>
        <v>8830.3700000000008</v>
      </c>
      <c r="I121" s="28">
        <f>IFERROR('Data Sheet'!H84,0)</f>
        <v>3389.61</v>
      </c>
      <c r="J121" s="28">
        <f>IFERROR('Data Sheet'!I84,0)</f>
        <v>9904.2000000000007</v>
      </c>
      <c r="K121" s="28">
        <f>IFERROR('Data Sheet'!J84,0)</f>
        <v>-3380.17</v>
      </c>
      <c r="L121" s="28">
        <f>IFERROR('Data Sheet'!K84,0)</f>
        <v>-26242.9</v>
      </c>
    </row>
    <row r="122" spans="1:13" x14ac:dyDescent="0.3">
      <c r="B122" s="37" t="s">
        <v>35</v>
      </c>
      <c r="C122" s="37">
        <f>IFERROR('Data Sheet'!B85,0)</f>
        <v>4277.01</v>
      </c>
      <c r="D122" s="37">
        <f>IFERROR('Data Sheet'!C85,0)</f>
        <v>4500.3500000000004</v>
      </c>
      <c r="E122" s="37">
        <f>IFERROR('Data Sheet'!D85,0)</f>
        <v>-2589.48</v>
      </c>
      <c r="F122" s="37">
        <f>IFERROR('Data Sheet'!E85,0)</f>
        <v>-3166.85</v>
      </c>
      <c r="G122" s="37">
        <f>IFERROR('Data Sheet'!F85,0)</f>
        <v>729.99</v>
      </c>
      <c r="H122" s="37">
        <f>IFERROR('Data Sheet'!G85,0)</f>
        <v>6843.05</v>
      </c>
      <c r="I122" s="37">
        <f>IFERROR('Data Sheet'!H85,0)</f>
        <v>-3092</v>
      </c>
      <c r="J122" s="37">
        <f>IFERROR('Data Sheet'!I85,0)</f>
        <v>13232.21</v>
      </c>
      <c r="K122" s="37">
        <f>IFERROR('Data Sheet'!J85,0)</f>
        <v>6459</v>
      </c>
      <c r="L122" s="37">
        <f>IFERROR('Data Sheet'!K85,0)</f>
        <v>-6272.06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J1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998E-E4C3-4CEA-A303-B530C015BB3D}">
  <dimension ref="B2:P4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15" sqref="T15"/>
    </sheetView>
  </sheetViews>
  <sheetFormatPr defaultRowHeight="14.4" x14ac:dyDescent="0.3"/>
  <cols>
    <col min="1" max="1" width="2.5546875" customWidth="1"/>
    <col min="2" max="2" width="26.88671875" customWidth="1"/>
    <col min="11" max="12" width="9.6640625" bestFit="1" customWidth="1"/>
    <col min="14" max="14" width="21.77734375" customWidth="1"/>
  </cols>
  <sheetData>
    <row r="2" spans="2:16" x14ac:dyDescent="0.3">
      <c r="B2" s="40" t="str">
        <f>"Ratio Analysis- "&amp;'Data Sheet'!B1</f>
        <v>Ratio Analysis- TATA MOTORS LTD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2:16" x14ac:dyDescent="0.3">
      <c r="B3" s="25" t="s">
        <v>93</v>
      </c>
      <c r="C3" s="26"/>
      <c r="D3" s="26">
        <v>41729</v>
      </c>
      <c r="E3" s="26">
        <v>42094</v>
      </c>
      <c r="F3" s="26">
        <v>42460</v>
      </c>
      <c r="G3" s="26">
        <v>42825</v>
      </c>
      <c r="H3" s="26">
        <v>43190</v>
      </c>
      <c r="I3" s="26">
        <v>43555</v>
      </c>
      <c r="J3" s="26">
        <v>43921</v>
      </c>
      <c r="K3" s="26">
        <v>44286</v>
      </c>
      <c r="L3" s="26">
        <v>44651</v>
      </c>
      <c r="M3" s="26">
        <v>45016</v>
      </c>
      <c r="N3" s="63" t="s">
        <v>193</v>
      </c>
      <c r="O3" s="26" t="s">
        <v>191</v>
      </c>
      <c r="P3" s="26" t="s">
        <v>192</v>
      </c>
    </row>
    <row r="4" spans="2:16" ht="15" thickBot="1" x14ac:dyDescent="0.35"/>
    <row r="5" spans="2:16" x14ac:dyDescent="0.3">
      <c r="B5" s="49" t="s">
        <v>163</v>
      </c>
      <c r="C5" s="50"/>
      <c r="D5" s="50"/>
      <c r="E5" s="51">
        <f>IFERROR(HistoricalFS!D6,0)</f>
        <v>0.13024457030826198</v>
      </c>
      <c r="F5" s="51">
        <f>IFERROR(HistoricalFS!E6,0)</f>
        <v>3.75690010654397E-2</v>
      </c>
      <c r="G5" s="51">
        <f>IFERROR(HistoricalFS!F6,0)</f>
        <v>-1.2280329732469508E-2</v>
      </c>
      <c r="H5" s="51">
        <f>IFERROR(HistoricalFS!G6,0)</f>
        <v>8.104774581985974E-2</v>
      </c>
      <c r="I5" s="51">
        <f>IFERROR(HistoricalFS!H6,0)</f>
        <v>3.5629919045237157E-2</v>
      </c>
      <c r="J5" s="51">
        <f>IFERROR(HistoricalFS!I6,0)</f>
        <v>-0.135360159555724</v>
      </c>
      <c r="K5" s="51">
        <f>IFERROR(HistoricalFS!J6,0)</f>
        <v>-4.3181168490336042E-2</v>
      </c>
      <c r="L5" s="51">
        <f>IFERROR(HistoricalFS!K6,0)</f>
        <v>0.11472967306158344</v>
      </c>
      <c r="M5" s="51">
        <f>IFERROR(HistoricalFS!L6,0)</f>
        <v>0.24245815155859707</v>
      </c>
      <c r="O5" s="51">
        <f>IFERROR(AVERAGE(E5:M5),0)</f>
        <v>5.0095267008938835E-2</v>
      </c>
      <c r="P5" s="51">
        <f>IFERROR(MEDIAN(E5:M5),0)</f>
        <v>3.75690010654397E-2</v>
      </c>
    </row>
    <row r="6" spans="2:16" x14ac:dyDescent="0.3">
      <c r="B6" s="52" t="s">
        <v>164</v>
      </c>
      <c r="C6" s="47"/>
      <c r="D6" s="47"/>
      <c r="E6" s="53">
        <f>IFERROR(HistoricalFS!D19/HistoricalFS!C19-1,0)</f>
        <v>0.12582115468924693</v>
      </c>
      <c r="F6" s="53">
        <f>IFERROR(HistoricalFS!E19/HistoricalFS!D19-1,0)</f>
        <v>-2.1494113584437979E-2</v>
      </c>
      <c r="G6" s="53">
        <f>IFERROR(HistoricalFS!F19/HistoricalFS!E19-1,0)</f>
        <v>-0.22936587208052905</v>
      </c>
      <c r="H6" s="53">
        <f>IFERROR(HistoricalFS!G19/HistoricalFS!F19-1,0)</f>
        <v>6.3165689322506102E-2</v>
      </c>
      <c r="I6" s="53">
        <f>IFERROR(HistoricalFS!H19/HistoricalFS!G19-1,0)</f>
        <v>-0.21595203460649259</v>
      </c>
      <c r="J6" s="53">
        <f>IFERROR(HistoricalFS!I19/HistoricalFS!H19-1,0)</f>
        <v>-0.27072537547138131</v>
      </c>
      <c r="K6" s="53">
        <f>IFERROR(HistoricalFS!J19/HistoricalFS!I19-1,0)</f>
        <v>0.79503554497758966</v>
      </c>
      <c r="L6" s="53">
        <f>IFERROR(HistoricalFS!K19/HistoricalFS!J19-1,0)</f>
        <v>-0.234374182150762</v>
      </c>
      <c r="M6" s="53">
        <f>IFERROR(HistoricalFS!L19/HistoricalFS!K19-1,0)</f>
        <v>0.28704223973294352</v>
      </c>
      <c r="O6" s="53">
        <f t="shared" ref="O6:O9" si="0">IFERROR(AVERAGE(E6:M6),0)</f>
        <v>3.3239227869853699E-2</v>
      </c>
      <c r="P6" s="53">
        <f t="shared" ref="P6:P9" si="1">IFERROR(MEDIAN(E6:M6),0)</f>
        <v>-2.1494113584437979E-2</v>
      </c>
    </row>
    <row r="7" spans="2:16" x14ac:dyDescent="0.3">
      <c r="B7" s="52" t="s">
        <v>165</v>
      </c>
      <c r="C7" s="47"/>
      <c r="D7" s="47"/>
      <c r="E7" s="53">
        <f>IFERROR(HistoricalFS!D30/HistoricalFS!C30-1,0)</f>
        <v>0.103163815795007</v>
      </c>
      <c r="F7" s="53">
        <f>IFERROR(HistoricalFS!E30/HistoricalFS!D30-1,0)</f>
        <v>-0.19978245260625749</v>
      </c>
      <c r="G7" s="53">
        <f>IFERROR(HistoricalFS!F30/HistoricalFS!E30-1,0)</f>
        <v>-0.55668251823863213</v>
      </c>
      <c r="H7" s="53">
        <f>IFERROR(HistoricalFS!G30/HistoricalFS!F30-1,0)</f>
        <v>-0.29861436616351744</v>
      </c>
      <c r="I7" s="53">
        <f>IFERROR(HistoricalFS!H30/HistoricalFS!G30-1,0)</f>
        <v>-1.897095149646705</v>
      </c>
      <c r="J7" s="53">
        <f>IFERROR(HistoricalFS!I30/HistoricalFS!H30-1,0)</f>
        <v>1.2800251873039095</v>
      </c>
      <c r="K7" s="53">
        <f>IFERROR(HistoricalFS!J30/HistoricalFS!I30-1,0)</f>
        <v>-1.0602479570180365</v>
      </c>
      <c r="L7" s="53">
        <f>IFERROR(HistoricalFS!K30/HistoricalFS!J30-1,0)</f>
        <v>-15.64914925025267</v>
      </c>
      <c r="M7" s="53">
        <f>IFERROR(HistoricalFS!L30/HistoricalFS!K30-1,0)</f>
        <v>-0.65313668793078505</v>
      </c>
      <c r="O7" s="53">
        <f t="shared" si="0"/>
        <v>-2.1035021531952989</v>
      </c>
      <c r="P7" s="53">
        <f t="shared" si="1"/>
        <v>-0.55668251823863213</v>
      </c>
    </row>
    <row r="8" spans="2:16" x14ac:dyDescent="0.3">
      <c r="B8" s="52" t="s">
        <v>166</v>
      </c>
      <c r="C8" s="47"/>
      <c r="D8" s="47"/>
      <c r="E8" s="53">
        <f>IFERROR(HistoricalFS!D36/HistoricalFS!C36-1,0)</f>
        <v>-6.4185676009415382E-2</v>
      </c>
      <c r="F8" s="53">
        <f>IFERROR(HistoricalFS!E36/HistoricalFS!D36-1,0)</f>
        <v>3.1824673563310757E-2</v>
      </c>
      <c r="G8" s="53">
        <f>IFERROR(HistoricalFS!F36/HistoricalFS!E36-1,0)</f>
        <v>-0.69539895165986787</v>
      </c>
      <c r="H8" s="53">
        <f>IFERROR(HistoricalFS!G36/HistoricalFS!F36-1,0)</f>
        <v>-0.79011124197155724</v>
      </c>
      <c r="I8" s="53">
        <f>IFERROR(HistoricalFS!H36/HistoricalFS!G36-1,0)</f>
        <v>-3.5528470983790919</v>
      </c>
      <c r="J8" s="53">
        <f>IFERROR(HistoricalFS!I36/HistoricalFS!H36-1,0)</f>
        <v>3.9286702707513577</v>
      </c>
      <c r="K8" s="53">
        <f>IFERROR(HistoricalFS!J36/HistoricalFS!I36-1,0)</f>
        <v>-0.82862505348950144</v>
      </c>
      <c r="L8" s="53">
        <f>IFERROR(HistoricalFS!K36/HistoricalFS!J36-1,0)</f>
        <v>6.1952157445306248</v>
      </c>
      <c r="M8" s="53">
        <f>IFERROR(HistoricalFS!L36/HistoricalFS!K36-1,0)</f>
        <v>-0.7090436533357708</v>
      </c>
      <c r="O8" s="53">
        <f t="shared" si="0"/>
        <v>0.39061100155556538</v>
      </c>
      <c r="P8" s="53">
        <f t="shared" si="1"/>
        <v>-0.69539895165986787</v>
      </c>
    </row>
    <row r="9" spans="2:16" ht="15" thickBot="1" x14ac:dyDescent="0.35">
      <c r="B9" s="54" t="s">
        <v>167</v>
      </c>
      <c r="C9" s="55"/>
      <c r="D9" s="55"/>
      <c r="E9" s="56">
        <f>IFERROR(HistoricalFS!D45/HistoricalFS!C45-1,0)</f>
        <v>-1</v>
      </c>
      <c r="F9" s="56">
        <f>IFERROR(HistoricalFS!E45/HistoricalFS!D45-1,0)</f>
        <v>0</v>
      </c>
      <c r="G9" s="56">
        <f>IFERROR(HistoricalFS!F45/HistoricalFS!E45-1,0)</f>
        <v>-1</v>
      </c>
      <c r="H9" s="56">
        <f>IFERROR(HistoricalFS!G45/HistoricalFS!F45-1,0)</f>
        <v>0</v>
      </c>
      <c r="I9" s="56">
        <f>IFERROR(HistoricalFS!H45/HistoricalFS!G45-1,0)</f>
        <v>0</v>
      </c>
      <c r="J9" s="56">
        <f>IFERROR(HistoricalFS!I45/HistoricalFS!H45-1,0)</f>
        <v>0</v>
      </c>
      <c r="K9" s="56">
        <f>IFERROR(HistoricalFS!J45/HistoricalFS!I45-1,0)</f>
        <v>0</v>
      </c>
      <c r="L9" s="56">
        <f>IFERROR(HistoricalFS!K45/HistoricalFS!J45-1,0)</f>
        <v>0</v>
      </c>
      <c r="M9" s="56">
        <f>IFERROR(HistoricalFS!L45/HistoricalFS!K45-1,0)</f>
        <v>0</v>
      </c>
      <c r="O9" s="56">
        <f t="shared" si="0"/>
        <v>-0.22222222222222221</v>
      </c>
      <c r="P9" s="56">
        <f t="shared" si="1"/>
        <v>0</v>
      </c>
    </row>
    <row r="10" spans="2:16" ht="15" thickBot="1" x14ac:dyDescent="0.35"/>
    <row r="11" spans="2:16" x14ac:dyDescent="0.3">
      <c r="B11" s="49" t="s">
        <v>107</v>
      </c>
      <c r="C11" s="50"/>
      <c r="D11" s="51">
        <f>IFERROR(HistoricalFS!C13,0)</f>
        <v>0.22635301098646982</v>
      </c>
      <c r="E11" s="51">
        <f>IFERROR(HistoricalFS!D13,0)</f>
        <v>0.22914703499762759</v>
      </c>
      <c r="F11" s="51">
        <f>IFERROR(HistoricalFS!E13,0)</f>
        <v>0.24734524196690946</v>
      </c>
      <c r="G11" s="51">
        <f>IFERROR(HistoricalFS!F13,0)</f>
        <v>0.23819078253229964</v>
      </c>
      <c r="H11" s="51">
        <f>IFERROR(HistoricalFS!G13,0)</f>
        <v>0.21649990080619999</v>
      </c>
      <c r="I11" s="51">
        <f>IFERROR(HistoricalFS!H13,0)</f>
        <v>0.19571167496416494</v>
      </c>
      <c r="J11" s="51">
        <f>IFERROR(HistoricalFS!I13,0)</f>
        <v>0.19417127271491774</v>
      </c>
      <c r="K11" s="51">
        <f>IFERROR(HistoricalFS!J13,0)</f>
        <v>0.2180538622208833</v>
      </c>
      <c r="L11" s="51">
        <f>IFERROR(HistoricalFS!K13,0)</f>
        <v>0.19807108271747378</v>
      </c>
      <c r="M11" s="51">
        <f>IFERROR(HistoricalFS!L13,0)</f>
        <v>0.20685017994636876</v>
      </c>
      <c r="O11" s="51">
        <f>IFERROR(AVERAGE(D11:M11),0)</f>
        <v>0.21703940438533151</v>
      </c>
      <c r="P11" s="51">
        <f>IFERROR(MEDIAN(D11:M11),0)</f>
        <v>0.21727688151354163</v>
      </c>
    </row>
    <row r="12" spans="2:16" x14ac:dyDescent="0.3">
      <c r="B12" s="52" t="s">
        <v>168</v>
      </c>
      <c r="C12" s="47"/>
      <c r="D12" s="53">
        <f>IFERROR(HistoricalFS!C20,0)</f>
        <v>0.14969210207836775</v>
      </c>
      <c r="E12" s="53">
        <f>IFERROR(HistoricalFS!D20,0)</f>
        <v>0.14910625508580397</v>
      </c>
      <c r="F12" s="53">
        <f>IFERROR(HistoricalFS!E20,0)</f>
        <v>0.14061845347443788</v>
      </c>
      <c r="G12" s="53">
        <f>IFERROR(HistoricalFS!F20,0)</f>
        <v>0.10971268723777329</v>
      </c>
      <c r="H12" s="53">
        <f>IFERROR(HistoricalFS!G20,0)</f>
        <v>0.10789788444182975</v>
      </c>
      <c r="I12" s="53">
        <f>IFERROR(HistoricalFS!H20,0)</f>
        <v>8.1686628795807431E-2</v>
      </c>
      <c r="J12" s="53">
        <f>IFERROR(HistoricalFS!I20,0)</f>
        <v>6.8898034485042198E-2</v>
      </c>
      <c r="K12" s="53">
        <f>IFERROR(HistoricalFS!J20,0)</f>
        <v>0.12925583904385496</v>
      </c>
      <c r="L12" s="53">
        <f>IFERROR(HistoricalFS!K20,0)</f>
        <v>8.877632835227646E-2</v>
      </c>
      <c r="M12" s="53">
        <f>IFERROR(HistoricalFS!L20,0)</f>
        <v>9.1961958102532049E-2</v>
      </c>
      <c r="O12" s="53">
        <f t="shared" ref="O12:O15" si="2">IFERROR(AVERAGE(D12:M12),0)</f>
        <v>0.11176061710977256</v>
      </c>
      <c r="P12" s="53">
        <f t="shared" ref="P12:P15" si="3">IFERROR(MEDIAN(D12:M12),0)</f>
        <v>0.10880528583980152</v>
      </c>
    </row>
    <row r="13" spans="2:16" x14ac:dyDescent="0.3">
      <c r="B13" s="52" t="s">
        <v>169</v>
      </c>
      <c r="C13" s="47"/>
      <c r="D13" s="53">
        <f>IFERROR((HistoricalFS!C19-HistoricalFS!C26)/HistoricalFS!C5,0)</f>
        <v>0.10211238357890337</v>
      </c>
      <c r="E13" s="53">
        <f>IFERROR((HistoricalFS!D19-HistoricalFS!D26)/HistoricalFS!D5,0)</f>
        <v>9.8229670900837146E-2</v>
      </c>
      <c r="F13" s="53">
        <f>IFERROR((HistoricalFS!E19-HistoricalFS!E26)/HistoricalFS!E5,0)</f>
        <v>7.941702777851016E-2</v>
      </c>
      <c r="G13" s="53">
        <f>IFERROR((HistoricalFS!F19-HistoricalFS!F26)/HistoricalFS!F5,0)</f>
        <v>4.3322300645279484E-2</v>
      </c>
      <c r="H13" s="53">
        <f>IFERROR((HistoricalFS!G19-HistoricalFS!G26)/HistoricalFS!G5,0)</f>
        <v>3.3970412259310953E-2</v>
      </c>
      <c r="I13" s="53">
        <f>IFERROR((HistoricalFS!H19-HistoricalFS!H26)/HistoricalFS!H5,0)</f>
        <v>3.5560233478087663E-3</v>
      </c>
      <c r="J13" s="53">
        <f>IFERROR((HistoricalFS!I19-HistoricalFS!I26)/HistoricalFS!I5,0)</f>
        <v>-1.3170363258273456E-2</v>
      </c>
      <c r="K13" s="53">
        <f>IFERROR((HistoricalFS!J19-HistoricalFS!J26)/HistoricalFS!J5,0)</f>
        <v>3.4991608110258483E-2</v>
      </c>
      <c r="L13" s="53">
        <f>IFERROR((HistoricalFS!K19-HistoricalFS!K26)/HistoricalFS!K5,0)</f>
        <v>-4.1514992694289269E-4</v>
      </c>
      <c r="M13" s="53">
        <f>IFERROR((HistoricalFS!L19-HistoricalFS!L26)/HistoricalFS!L5,0)</f>
        <v>2.0104346955433228E-2</v>
      </c>
      <c r="O13" s="53">
        <f t="shared" si="2"/>
        <v>4.0211826039112518E-2</v>
      </c>
      <c r="P13" s="53">
        <f t="shared" si="3"/>
        <v>3.4481010184784722E-2</v>
      </c>
    </row>
    <row r="14" spans="2:16" x14ac:dyDescent="0.3">
      <c r="B14" s="52" t="s">
        <v>170</v>
      </c>
      <c r="C14" s="47"/>
      <c r="D14" s="53">
        <f>IFERROR(HistoricalFS!C31,0)</f>
        <v>8.1713958368390432E-2</v>
      </c>
      <c r="E14" s="53">
        <f>IFERROR(HistoricalFS!D31,0)</f>
        <v>7.9756085085905037E-2</v>
      </c>
      <c r="F14" s="53">
        <f>IFERROR(HistoricalFS!E31,0)</f>
        <v>6.1511300676516931E-2</v>
      </c>
      <c r="G14" s="53">
        <f>IFERROR(HistoricalFS!F31,0)</f>
        <v>2.7608071132565179E-2</v>
      </c>
      <c r="H14" s="53">
        <f>IFERROR(HistoricalFS!G31,0)</f>
        <v>1.7912163958707913E-2</v>
      </c>
      <c r="I14" s="53">
        <f>IFERROR(HistoricalFS!H31,0)</f>
        <v>-1.5516078776333117E-2</v>
      </c>
      <c r="J14" s="53">
        <f>IFERROR(HistoricalFS!I31,0)</f>
        <v>-4.0915360088026265E-2</v>
      </c>
      <c r="K14" s="53">
        <f>IFERROR(HistoricalFS!J31,0)</f>
        <v>2.5763151547420113E-3</v>
      </c>
      <c r="L14" s="53">
        <f>IFERROR(HistoricalFS!K31,0)</f>
        <v>-3.3856482095653805E-2</v>
      </c>
      <c r="M14" s="53">
        <f>IFERROR(HistoricalFS!L31,0)</f>
        <v>-9.4518849588445895E-3</v>
      </c>
      <c r="O14" s="53">
        <f t="shared" si="2"/>
        <v>1.7133808845796978E-2</v>
      </c>
      <c r="P14" s="53">
        <f t="shared" si="3"/>
        <v>1.0244239556724962E-2</v>
      </c>
    </row>
    <row r="15" spans="2:16" ht="15" thickBot="1" x14ac:dyDescent="0.35">
      <c r="B15" s="54" t="s">
        <v>171</v>
      </c>
      <c r="C15" s="55"/>
      <c r="D15" s="56">
        <f>IFERROR(HistoricalFS!C37,0)</f>
        <v>6.124960626397391E-2</v>
      </c>
      <c r="E15" s="56">
        <f>IFERROR(HistoricalFS!D37,0)</f>
        <v>5.0713146858982282E-2</v>
      </c>
      <c r="F15" s="56">
        <f>IFERROR(HistoricalFS!E37,0)</f>
        <v>5.0432381990407359E-2</v>
      </c>
      <c r="G15" s="56">
        <f>IFERROR(HistoricalFS!F37,0)</f>
        <v>1.5552749314395296E-2</v>
      </c>
      <c r="H15" s="56">
        <f>IFERROR(HistoricalFS!G37,0)</f>
        <v>3.01961430487095E-3</v>
      </c>
      <c r="I15" s="56">
        <f>IFERROR(HistoricalFS!H37,0)</f>
        <v>-7.4434056747998256E-3</v>
      </c>
      <c r="J15" s="56">
        <f>IFERROR(HistoricalFS!I37,0)</f>
        <v>-4.2429333632923408E-2</v>
      </c>
      <c r="K15" s="56">
        <f>IFERROR(HistoricalFS!J37,0)</f>
        <v>-7.5994791724005731E-3</v>
      </c>
      <c r="L15" s="56">
        <f>IFERROR(HistoricalFS!K37,0)</f>
        <v>-4.9052154538339235E-2</v>
      </c>
      <c r="M15" s="56">
        <f>IFERROR(HistoricalFS!L37,0)</f>
        <v>-1.1486934720964945E-2</v>
      </c>
      <c r="O15" s="56">
        <f t="shared" si="2"/>
        <v>6.2956190993201811E-3</v>
      </c>
      <c r="P15" s="56">
        <f t="shared" si="3"/>
        <v>-2.2118956849644378E-3</v>
      </c>
    </row>
    <row r="18" spans="2:16" ht="15" thickBot="1" x14ac:dyDescent="0.35">
      <c r="B18" s="48"/>
    </row>
    <row r="19" spans="2:16" x14ac:dyDescent="0.3">
      <c r="B19" s="49" t="s">
        <v>172</v>
      </c>
      <c r="C19" s="50"/>
      <c r="D19" s="51">
        <f>IFERROR(HistoricalFS!C16,0)</f>
        <v>7.6660908908102038E-2</v>
      </c>
      <c r="E19" s="51">
        <f>IFERROR(HistoricalFS!D16,0)</f>
        <v>8.0040779911823637E-2</v>
      </c>
      <c r="F19" s="51">
        <f>IFERROR(HistoricalFS!E16,0)</f>
        <v>0.10672678849247161</v>
      </c>
      <c r="G19" s="51">
        <f>IFERROR(HistoricalFS!F16,0)</f>
        <v>0.12847809529452636</v>
      </c>
      <c r="H19" s="51">
        <f>IFERROR(HistoricalFS!G16,0)</f>
        <v>0.10860201636437025</v>
      </c>
      <c r="I19" s="51">
        <f>IFERROR(HistoricalFS!H16,0)</f>
        <v>0.11402504616835751</v>
      </c>
      <c r="J19" s="51">
        <f>IFERROR(HistoricalFS!I16,0)</f>
        <v>0.12527323822987554</v>
      </c>
      <c r="K19" s="51">
        <f>IFERROR(HistoricalFS!J16,0)</f>
        <v>8.8798023177028354E-2</v>
      </c>
      <c r="L19" s="51">
        <f>IFERROR(HistoricalFS!K16,0)</f>
        <v>0.10929475436519734</v>
      </c>
      <c r="M19" s="51">
        <f>IFERROR(HistoricalFS!L16,0)</f>
        <v>0.11488822184383672</v>
      </c>
      <c r="O19" s="51">
        <f t="shared" ref="O19:O21" si="4">IFERROR(AVERAGE(D19:M19),0)</f>
        <v>0.10527878727555892</v>
      </c>
      <c r="P19" s="51">
        <f t="shared" ref="P19:P21" si="5">IFERROR(MEDIAN(D19:M19),0)</f>
        <v>0.1089483853647838</v>
      </c>
    </row>
    <row r="20" spans="2:16" x14ac:dyDescent="0.3">
      <c r="B20" s="52" t="s">
        <v>173</v>
      </c>
      <c r="C20" s="47"/>
      <c r="D20" s="53">
        <f>IFERROR(HistoricalFS!C27,0)</f>
        <v>4.757971849946438E-2</v>
      </c>
      <c r="E20" s="53">
        <f>IFERROR(HistoricalFS!D27,0)</f>
        <v>5.0876584184966822E-2</v>
      </c>
      <c r="F20" s="53">
        <f>IFERROR(HistoricalFS!E27,0)</f>
        <v>6.1201425695927715E-2</v>
      </c>
      <c r="G20" s="53">
        <f>IFERROR(HistoricalFS!F27,0)</f>
        <v>6.63903865924938E-2</v>
      </c>
      <c r="H20" s="53">
        <f>IFERROR(HistoricalFS!G27,0)</f>
        <v>7.3927472182518786E-2</v>
      </c>
      <c r="I20" s="53">
        <f>IFERROR(HistoricalFS!H27,0)</f>
        <v>7.8130605447998658E-2</v>
      </c>
      <c r="J20" s="53">
        <f>IFERROR(HistoricalFS!I27,0)</f>
        <v>8.206839774331566E-2</v>
      </c>
      <c r="K20" s="53">
        <f>IFERROR(HistoricalFS!J27,0)</f>
        <v>9.4264230933596482E-2</v>
      </c>
      <c r="L20" s="53">
        <f>IFERROR(HistoricalFS!K27,0)</f>
        <v>8.9191478279219347E-2</v>
      </c>
      <c r="M20" s="53">
        <f>IFERROR(HistoricalFS!L27,0)</f>
        <v>7.1857611147098821E-2</v>
      </c>
      <c r="O20" s="53">
        <f t="shared" si="4"/>
        <v>7.1548791070660034E-2</v>
      </c>
      <c r="P20" s="53">
        <f t="shared" si="5"/>
        <v>7.2892541664808796E-2</v>
      </c>
    </row>
    <row r="21" spans="2:16" ht="15" thickBot="1" x14ac:dyDescent="0.35">
      <c r="B21" s="54" t="s">
        <v>174</v>
      </c>
      <c r="C21" s="55"/>
      <c r="D21" s="56">
        <f>IFERROR(D13,0)</f>
        <v>0.10211238357890337</v>
      </c>
      <c r="E21" s="56">
        <f t="shared" ref="E21:M21" si="6">IFERROR(E13,0)</f>
        <v>9.8229670900837146E-2</v>
      </c>
      <c r="F21" s="56">
        <f t="shared" si="6"/>
        <v>7.941702777851016E-2</v>
      </c>
      <c r="G21" s="56">
        <f t="shared" si="6"/>
        <v>4.3322300645279484E-2</v>
      </c>
      <c r="H21" s="56">
        <f t="shared" si="6"/>
        <v>3.3970412259310953E-2</v>
      </c>
      <c r="I21" s="56">
        <f t="shared" si="6"/>
        <v>3.5560233478087663E-3</v>
      </c>
      <c r="J21" s="56">
        <f t="shared" si="6"/>
        <v>-1.3170363258273456E-2</v>
      </c>
      <c r="K21" s="56">
        <f t="shared" si="6"/>
        <v>3.4991608110258483E-2</v>
      </c>
      <c r="L21" s="56">
        <f t="shared" si="6"/>
        <v>-4.1514992694289269E-4</v>
      </c>
      <c r="M21" s="56">
        <f t="shared" si="6"/>
        <v>2.0104346955433228E-2</v>
      </c>
      <c r="O21" s="56">
        <f t="shared" si="4"/>
        <v>4.0211826039112518E-2</v>
      </c>
      <c r="P21" s="56">
        <f t="shared" si="5"/>
        <v>3.4481010184784722E-2</v>
      </c>
    </row>
    <row r="22" spans="2:16" ht="15" thickBot="1" x14ac:dyDescent="0.35">
      <c r="B22" s="48"/>
    </row>
    <row r="23" spans="2:16" x14ac:dyDescent="0.3">
      <c r="B23" s="49" t="s">
        <v>175</v>
      </c>
      <c r="C23" s="50"/>
      <c r="D23" s="51">
        <f>IFERROR((HistoricalFS!C19-HistoricalFS!C26)/SUM(HistoricalFS!C52:C54),0)</f>
        <v>0.18832478532145183</v>
      </c>
      <c r="E23" s="51">
        <f>IFERROR((HistoricalFS!D19-HistoricalFS!D26)/SUM(HistoricalFS!D52:D54),0)</f>
        <v>0.19904181268509033</v>
      </c>
      <c r="F23" s="51">
        <f>IFERROR((HistoricalFS!E19-HistoricalFS!E26)/SUM(HistoricalFS!E52:E54),0)</f>
        <v>0.1462081011853561</v>
      </c>
      <c r="G23" s="51">
        <f>IFERROR((HistoricalFS!F19-HistoricalFS!F26)/SUM(HistoricalFS!F52:F54),0)</f>
        <v>8.5490986154773282E-2</v>
      </c>
      <c r="H23" s="51">
        <f>IFERROR((HistoricalFS!G19-HistoricalFS!G26)/SUM(HistoricalFS!G52:G54),0)</f>
        <v>5.3716113570365424E-2</v>
      </c>
      <c r="I23" s="51">
        <f>IFERROR((HistoricalFS!H19-HistoricalFS!H26)/SUM(HistoricalFS!H52:H54),0)</f>
        <v>6.4542733637543747E-3</v>
      </c>
      <c r="J23" s="51">
        <f>IFERROR((HistoricalFS!I19-HistoricalFS!I26)/SUM(HistoricalFS!I52:I54),0)</f>
        <v>-1.8387082646096023E-2</v>
      </c>
      <c r="K23" s="51">
        <f>IFERROR((HistoricalFS!J19-HistoricalFS!J26)/SUM(HistoricalFS!J52:J54),0)</f>
        <v>4.4284324706251613E-2</v>
      </c>
      <c r="L23" s="51">
        <f>IFERROR((HistoricalFS!K19-HistoricalFS!K26)/SUM(HistoricalFS!K52:K54),0)</f>
        <v>-6.0520306054739361E-4</v>
      </c>
      <c r="M23" s="51">
        <f>IFERROR((HistoricalFS!L19-HistoricalFS!L26)/SUM(HistoricalFS!L52:L54),0)</f>
        <v>3.8762956416083731E-2</v>
      </c>
      <c r="O23" s="51">
        <f t="shared" ref="O23:O27" si="7">IFERROR(AVERAGE(D23:M23),0)</f>
        <v>7.4329106769648337E-2</v>
      </c>
      <c r="P23" s="51">
        <f t="shared" ref="P23:P27" si="8">IFERROR(MEDIAN(D23:M23),0)</f>
        <v>4.9000219138308515E-2</v>
      </c>
    </row>
    <row r="24" spans="2:16" x14ac:dyDescent="0.3">
      <c r="B24" s="52" t="s">
        <v>176</v>
      </c>
      <c r="C24" s="47"/>
      <c r="D24" s="53">
        <f>IFERROR(HistoricalFS!C48,0)</f>
        <v>0.95485720817027164</v>
      </c>
      <c r="E24" s="53">
        <f>IFERROR(HistoricalFS!D48,0)</f>
        <v>1</v>
      </c>
      <c r="F24" s="53">
        <f>IFERROR(HistoricalFS!E48,0)</f>
        <v>0.99506765991253665</v>
      </c>
      <c r="G24" s="53">
        <f>IFERROR(HistoricalFS!F48,0)</f>
        <v>1</v>
      </c>
      <c r="H24" s="53">
        <f>IFERROR(HistoricalFS!G48,0)</f>
        <v>1</v>
      </c>
      <c r="I24" s="53">
        <f>IFERROR(HistoricalFS!H48,0)</f>
        <v>0</v>
      </c>
      <c r="J24" s="53">
        <f>IFERROR(HistoricalFS!I48,0)</f>
        <v>0</v>
      </c>
      <c r="K24" s="53">
        <f>IFERROR(HistoricalFS!J48,0)</f>
        <v>0</v>
      </c>
      <c r="L24" s="53">
        <f>IFERROR(HistoricalFS!K48,0)</f>
        <v>0</v>
      </c>
      <c r="M24" s="53">
        <f>IFERROR(HistoricalFS!L48,0)</f>
        <v>0</v>
      </c>
      <c r="O24" s="53">
        <f t="shared" si="7"/>
        <v>0.49499248680828084</v>
      </c>
      <c r="P24" s="53">
        <f t="shared" si="8"/>
        <v>0.47742860408513582</v>
      </c>
    </row>
    <row r="25" spans="2:16" x14ac:dyDescent="0.3">
      <c r="B25" s="52" t="s">
        <v>177</v>
      </c>
      <c r="C25" s="47"/>
      <c r="D25" s="53">
        <f>IFERROR(HistoricalFS!C36/SUM(HistoricalFS!C52:C54),0)</f>
        <v>0.11296199879393919</v>
      </c>
      <c r="E25" s="53">
        <f>IFERROR(HistoricalFS!D36/SUM(HistoricalFS!D52:D54),0)</f>
        <v>0.1027595489754512</v>
      </c>
      <c r="F25" s="53">
        <f>IFERROR(HistoricalFS!E36/SUM(HistoricalFS!E52:E54),0)</f>
        <v>9.284687447176504E-2</v>
      </c>
      <c r="G25" s="53">
        <f>IFERROR(HistoricalFS!F36/SUM(HistoricalFS!F52:F54),0)</f>
        <v>3.0691349639818972E-2</v>
      </c>
      <c r="H25" s="53">
        <f>IFERROR(HistoricalFS!G36/SUM(HistoricalFS!G52:G54),0)</f>
        <v>4.7748006029773755E-3</v>
      </c>
      <c r="I25" s="53">
        <f>IFERROR(HistoricalFS!H36/SUM(HistoricalFS!H52:H54),0)</f>
        <v>-1.3509971753161343E-2</v>
      </c>
      <c r="J25" s="53">
        <f>IFERROR(HistoricalFS!I36/SUM(HistoricalFS!I52:I54),0)</f>
        <v>-5.9235394561897366E-2</v>
      </c>
      <c r="K25" s="53">
        <f>IFERROR(HistoricalFS!J36/SUM(HistoricalFS!J52:J54),0)</f>
        <v>-9.6176718202991233E-3</v>
      </c>
      <c r="L25" s="53">
        <f>IFERROR(HistoricalFS!K36/SUM(HistoricalFS!K52:K54),0)</f>
        <v>-7.150793514924611E-2</v>
      </c>
      <c r="M25" s="53">
        <f>IFERROR(HistoricalFS!L36/SUM(HistoricalFS!L52:L54),0)</f>
        <v>-2.2147824593866196E-2</v>
      </c>
      <c r="O25" s="53">
        <f t="shared" si="7"/>
        <v>1.6801577460548167E-2</v>
      </c>
      <c r="P25" s="53">
        <f t="shared" si="8"/>
        <v>-2.4214356086608739E-3</v>
      </c>
    </row>
    <row r="26" spans="2:16" x14ac:dyDescent="0.3">
      <c r="B26" s="52" t="s">
        <v>178</v>
      </c>
      <c r="C26" s="47"/>
      <c r="D26" s="53">
        <f>-IFERROR(D24*D25,0)</f>
        <v>-0.10786257879771437</v>
      </c>
      <c r="E26" s="53">
        <f t="shared" ref="E26:M26" si="9">-IFERROR(E24*E25,0)</f>
        <v>-0.1027595489754512</v>
      </c>
      <c r="F26" s="53">
        <f t="shared" si="9"/>
        <v>-9.2388922110812274E-2</v>
      </c>
      <c r="G26" s="53">
        <f t="shared" si="9"/>
        <v>-3.0691349639818972E-2</v>
      </c>
      <c r="H26" s="53">
        <f t="shared" si="9"/>
        <v>-4.7748006029773755E-3</v>
      </c>
      <c r="I26" s="53">
        <f t="shared" si="9"/>
        <v>0</v>
      </c>
      <c r="J26" s="53">
        <f t="shared" si="9"/>
        <v>0</v>
      </c>
      <c r="K26" s="53">
        <f t="shared" si="9"/>
        <v>0</v>
      </c>
      <c r="L26" s="53">
        <f t="shared" si="9"/>
        <v>0</v>
      </c>
      <c r="M26" s="53">
        <f t="shared" si="9"/>
        <v>0</v>
      </c>
      <c r="O26" s="53">
        <f t="shared" si="7"/>
        <v>-3.3847720012677419E-2</v>
      </c>
      <c r="P26" s="53">
        <f t="shared" si="8"/>
        <v>-2.3874003014886878E-3</v>
      </c>
    </row>
    <row r="27" spans="2:16" ht="15" thickBot="1" x14ac:dyDescent="0.35">
      <c r="B27" s="54" t="s">
        <v>179</v>
      </c>
      <c r="C27" s="55"/>
      <c r="D27" s="57">
        <f>IFERROR((HistoricalFS!C19-HistoricalFS!C26)/HistoricalFS!C22,0)</f>
        <v>5.0058954318824904</v>
      </c>
      <c r="E27" s="57">
        <f>IFERROR((HistoricalFS!D19-HistoricalFS!D26)/HistoricalFS!D22,0)</f>
        <v>5.3173039541375138</v>
      </c>
      <c r="F27" s="57">
        <f>IFERROR((HistoricalFS!E19-HistoricalFS!E26)/HistoricalFS!E22,0)</f>
        <v>4.4352863933500721</v>
      </c>
      <c r="G27" s="57">
        <f>IFERROR((HistoricalFS!F19-HistoricalFS!F26)/HistoricalFS!F22,0)</f>
        <v>2.7568835373205922</v>
      </c>
      <c r="H27" s="57">
        <f>IFERROR((HistoricalFS!G19-HistoricalFS!G26)/HistoricalFS!G22,0)</f>
        <v>2.1154494328024094</v>
      </c>
      <c r="I27" s="57">
        <f>IFERROR((HistoricalFS!H19-HistoricalFS!H26)/HistoricalFS!H22,0)</f>
        <v>0.18645156808947008</v>
      </c>
      <c r="J27" s="57">
        <f>IFERROR((HistoricalFS!I19-HistoricalFS!I26)/HistoricalFS!I22,0)</f>
        <v>-0.47469326953211261</v>
      </c>
      <c r="K27" s="57">
        <f>IFERROR((HistoricalFS!J19-HistoricalFS!J26)/HistoricalFS!J22,0)</f>
        <v>1.079478385658198</v>
      </c>
      <c r="L27" s="57">
        <f>IFERROR((HistoricalFS!K19-HistoricalFS!K26)/HistoricalFS!K22,0)</f>
        <v>-1.2414275987824557E-2</v>
      </c>
      <c r="M27" s="57">
        <f>IFERROR((HistoricalFS!L19-HistoricalFS!L26)/HistoricalFS!L22,0)</f>
        <v>0.68020669934320532</v>
      </c>
      <c r="O27" s="57">
        <f t="shared" si="7"/>
        <v>2.1089847857064017</v>
      </c>
      <c r="P27" s="57">
        <f t="shared" si="8"/>
        <v>1.5974639092303038</v>
      </c>
    </row>
    <row r="28" spans="2:16" ht="15" thickBot="1" x14ac:dyDescent="0.35">
      <c r="B28" s="48"/>
    </row>
    <row r="29" spans="2:16" x14ac:dyDescent="0.3">
      <c r="B29" s="49" t="s">
        <v>180</v>
      </c>
      <c r="C29" s="50"/>
      <c r="D29" s="58">
        <f>IFERROR(HistoricalFS!C5/HistoricalFS!C65,0)</f>
        <v>8.5378093637574715</v>
      </c>
      <c r="E29" s="58">
        <f>IFERROR(HistoricalFS!D5/HistoricalFS!D65,0)</f>
        <v>8.9900219797938927</v>
      </c>
      <c r="F29" s="58">
        <f>IFERROR(HistoricalFS!E5/HistoricalFS!E65,0)</f>
        <v>8.3613381173839922</v>
      </c>
      <c r="G29" s="58">
        <f>IFERROR(HistoricalFS!F5/HistoricalFS!F65,0)</f>
        <v>7.6867643466738649</v>
      </c>
      <c r="H29" s="58">
        <f>IFERROR(HistoricalFS!G5/HistoricalFS!G65,0)</f>
        <v>6.9190051742350009</v>
      </c>
      <c r="I29" s="58">
        <f>IFERROR(HistoricalFS!H5/HistoricalFS!H65,0)</f>
        <v>7.7392856309817084</v>
      </c>
      <c r="J29" s="58">
        <f>IFERROR(HistoricalFS!I5/HistoricalFS!I65,0)</f>
        <v>6.9698269049637886</v>
      </c>
      <c r="K29" s="58">
        <f>IFERROR(HistoricalFS!J5/HistoricalFS!J65,0)</f>
        <v>6.9217098811563442</v>
      </c>
      <c r="L29" s="58">
        <f>IFERROR(HistoricalFS!K5/HistoricalFS!K65,0)</f>
        <v>7.9015588385356104</v>
      </c>
      <c r="M29" s="58">
        <f>IFERROR(HistoricalFS!L5/HistoricalFS!L65,0)</f>
        <v>8.4888641723217457</v>
      </c>
      <c r="O29" s="58">
        <f t="shared" ref="O29:O33" si="10">IFERROR(AVERAGE(D29:M29),0)</f>
        <v>7.8516184409803413</v>
      </c>
      <c r="P29" s="58">
        <f t="shared" ref="P29:P33" si="11">IFERROR(MEDIAN(D29:M29),0)</f>
        <v>7.8204222347586594</v>
      </c>
    </row>
    <row r="30" spans="2:16" x14ac:dyDescent="0.3">
      <c r="B30" s="52" t="s">
        <v>181</v>
      </c>
      <c r="C30" s="47"/>
      <c r="D30" s="59">
        <f>IFERROR(HistoricalFS!C5/HistoricalFS!C55,0)</f>
        <v>2.5258516302731193</v>
      </c>
      <c r="E30" s="59">
        <f>IFERROR(HistoricalFS!D5/HistoricalFS!D55,0)</f>
        <v>2.4493010585757142</v>
      </c>
      <c r="F30" s="59">
        <f>IFERROR(HistoricalFS!E5/HistoricalFS!E55,0)</f>
        <v>2.3769603927858673</v>
      </c>
      <c r="G30" s="59">
        <f>IFERROR(HistoricalFS!F5/HistoricalFS!F55,0)</f>
        <v>1.9842807783040648</v>
      </c>
      <c r="H30" s="59">
        <f>IFERROR(HistoricalFS!G5/HistoricalFS!G55,0)</f>
        <v>2.0414780318629697</v>
      </c>
      <c r="I30" s="59">
        <f>IFERROR(HistoricalFS!H5/HistoricalFS!H55,0)</f>
        <v>2.1667847518227492</v>
      </c>
      <c r="J30" s="59">
        <f>IFERROR(HistoricalFS!I5/HistoricalFS!I55,0)</f>
        <v>1.9602534811345065</v>
      </c>
      <c r="K30" s="59">
        <f>IFERROR(HistoricalFS!J5/HistoricalFS!J55,0)</f>
        <v>1.7323684804395676</v>
      </c>
      <c r="L30" s="59">
        <f>IFERROR(HistoricalFS!K5/HistoricalFS!K55,0)</f>
        <v>2.0170312149360217</v>
      </c>
      <c r="M30" s="59">
        <f>IFERROR(HistoricalFS!L5/HistoricalFS!L55,0)</f>
        <v>2.2286057258733614</v>
      </c>
      <c r="O30" s="59">
        <f t="shared" si="10"/>
        <v>2.1482915546007941</v>
      </c>
      <c r="P30" s="59">
        <f t="shared" si="11"/>
        <v>2.1041313918428592</v>
      </c>
    </row>
    <row r="31" spans="2:16" x14ac:dyDescent="0.3">
      <c r="B31" s="52" t="s">
        <v>47</v>
      </c>
      <c r="C31" s="47"/>
      <c r="D31" s="59">
        <f>IFERROR(HistoricalFS!C5/HistoricalFS!C65,0)</f>
        <v>8.5378093637574715</v>
      </c>
      <c r="E31" s="59">
        <f>IFERROR(HistoricalFS!D5/HistoricalFS!D65,0)</f>
        <v>8.9900219797938927</v>
      </c>
      <c r="F31" s="59">
        <f>IFERROR(HistoricalFS!E5/HistoricalFS!E65,0)</f>
        <v>8.3613381173839922</v>
      </c>
      <c r="G31" s="59">
        <f>IFERROR(HistoricalFS!F5/HistoricalFS!F65,0)</f>
        <v>7.6867643466738649</v>
      </c>
      <c r="H31" s="59">
        <f>IFERROR(HistoricalFS!G5/HistoricalFS!G65,0)</f>
        <v>6.9190051742350009</v>
      </c>
      <c r="I31" s="59">
        <f>IFERROR(HistoricalFS!H5/HistoricalFS!H65,0)</f>
        <v>7.7392856309817084</v>
      </c>
      <c r="J31" s="59">
        <f>IFERROR(HistoricalFS!I5/HistoricalFS!I65,0)</f>
        <v>6.9698269049637886</v>
      </c>
      <c r="K31" s="59">
        <f>IFERROR(HistoricalFS!J5/HistoricalFS!J65,0)</f>
        <v>6.9217098811563442</v>
      </c>
      <c r="L31" s="59">
        <f>IFERROR(HistoricalFS!K5/HistoricalFS!K65,0)</f>
        <v>7.9015588385356104</v>
      </c>
      <c r="M31" s="59">
        <f>IFERROR(HistoricalFS!L5/HistoricalFS!L65,0)</f>
        <v>8.4888641723217457</v>
      </c>
      <c r="O31" s="59">
        <f t="shared" si="10"/>
        <v>7.8516184409803413</v>
      </c>
      <c r="P31" s="59">
        <f t="shared" si="11"/>
        <v>7.8204222347586594</v>
      </c>
    </row>
    <row r="32" spans="2:16" x14ac:dyDescent="0.3">
      <c r="B32" s="52" t="s">
        <v>182</v>
      </c>
      <c r="C32" s="47"/>
      <c r="D32" s="59">
        <f>IFERROR(HistoricalFS!C5/HistoricalFS!C58,0)</f>
        <v>3.3699237549186467</v>
      </c>
      <c r="E32" s="59">
        <f>IFERROR(HistoricalFS!D5/HistoricalFS!D58,0)</f>
        <v>2.9742370802544178</v>
      </c>
      <c r="F32" s="59">
        <f>IFERROR(HistoricalFS!E5/HistoricalFS!E58,0)</f>
        <v>2.546312771514708</v>
      </c>
      <c r="G32" s="59">
        <f>IFERROR(HistoricalFS!F5/HistoricalFS!F58,0)</f>
        <v>2.8109343484246239</v>
      </c>
      <c r="H32" s="59">
        <f>IFERROR(HistoricalFS!G5/HistoricalFS!G58,0)</f>
        <v>2.4012948768781421</v>
      </c>
      <c r="I32" s="59">
        <f>IFERROR(HistoricalFS!H5/HistoricalFS!H58,0)</f>
        <v>2.7144319562092578</v>
      </c>
      <c r="J32" s="59">
        <f>IFERROR(HistoricalFS!I5/HistoricalFS!I58,0)</f>
        <v>2.0539205744067566</v>
      </c>
      <c r="K32" s="59">
        <f>IFERROR(HistoricalFS!J5/HistoricalFS!J58,0)</f>
        <v>1.8008727134726064</v>
      </c>
      <c r="L32" s="59">
        <f>IFERROR(HistoricalFS!K5/HistoricalFS!K58,0)</f>
        <v>2.0053488717943728</v>
      </c>
      <c r="M32" s="59">
        <f>IFERROR(HistoricalFS!L5/HistoricalFS!L58,0)</f>
        <v>2.6193791539294131</v>
      </c>
      <c r="O32" s="59">
        <f t="shared" si="10"/>
        <v>2.5296656101802943</v>
      </c>
      <c r="P32" s="59">
        <f t="shared" si="11"/>
        <v>2.5828459627220606</v>
      </c>
    </row>
    <row r="33" spans="2:16" ht="15" thickBot="1" x14ac:dyDescent="0.35">
      <c r="B33" s="54" t="s">
        <v>183</v>
      </c>
      <c r="C33" s="55"/>
      <c r="D33" s="57">
        <f>IFERROR(HistoricalFS!C5/SUM(HistoricalFS!C52:C54),0)</f>
        <v>1.8442893870549129</v>
      </c>
      <c r="E33" s="57">
        <f>IFERROR(HistoricalFS!D5/SUM(HistoricalFS!D52:D54),0)</f>
        <v>2.0262901306675762</v>
      </c>
      <c r="F33" s="57">
        <f>IFERROR(HistoricalFS!E5/SUM(HistoricalFS!E52:E54),0)</f>
        <v>1.8410170372167878</v>
      </c>
      <c r="G33" s="57">
        <f>IFERROR(HistoricalFS!F5/SUM(HistoricalFS!F52:F54),0)</f>
        <v>1.9733713325792315</v>
      </c>
      <c r="H33" s="57">
        <f>IFERROR(HistoricalFS!G5/SUM(HistoricalFS!G52:G54),0)</f>
        <v>1.5812617509710194</v>
      </c>
      <c r="I33" s="57">
        <f>IFERROR(HistoricalFS!H5/SUM(HistoricalFS!H52:H54),0)</f>
        <v>1.8150255868627858</v>
      </c>
      <c r="J33" s="57">
        <f>IFERROR(HistoricalFS!I5/SUM(HistoricalFS!I52:I54),0)</f>
        <v>1.3960953305175916</v>
      </c>
      <c r="K33" s="57">
        <f>IFERROR(HistoricalFS!J5/SUM(HistoricalFS!J52:J54),0)</f>
        <v>1.2655698636859387</v>
      </c>
      <c r="L33" s="57">
        <f>IFERROR(HistoricalFS!K5/SUM(HistoricalFS!K52:K54),0)</f>
        <v>1.4577939709733934</v>
      </c>
      <c r="M33" s="57">
        <f>IFERROR(HistoricalFS!L5/SUM(HistoricalFS!L52:L54),0)</f>
        <v>1.9280883135379825</v>
      </c>
      <c r="O33" s="57">
        <f t="shared" si="10"/>
        <v>1.7128802704067219</v>
      </c>
      <c r="P33" s="57">
        <f t="shared" si="11"/>
        <v>1.8280213120397868</v>
      </c>
    </row>
    <row r="34" spans="2:16" x14ac:dyDescent="0.3">
      <c r="B34" s="48"/>
    </row>
    <row r="35" spans="2:16" ht="15" thickBot="1" x14ac:dyDescent="0.35">
      <c r="B35" s="48" t="s">
        <v>190</v>
      </c>
    </row>
    <row r="36" spans="2:16" x14ac:dyDescent="0.3">
      <c r="B36" s="49" t="s">
        <v>46</v>
      </c>
      <c r="C36" s="50"/>
      <c r="D36" s="60">
        <f>IFERROR(365/D29,0)</f>
        <v>42.751013105235728</v>
      </c>
      <c r="E36" s="60">
        <f t="shared" ref="E36:M36" si="12">IFERROR(365/E29,0)</f>
        <v>40.600568143256986</v>
      </c>
      <c r="F36" s="60">
        <f t="shared" si="12"/>
        <v>43.653299851746382</v>
      </c>
      <c r="G36" s="60">
        <f t="shared" si="12"/>
        <v>47.484218786795374</v>
      </c>
      <c r="H36" s="60">
        <f t="shared" si="12"/>
        <v>52.753248596949661</v>
      </c>
      <c r="I36" s="60">
        <f t="shared" si="12"/>
        <v>47.161975588398164</v>
      </c>
      <c r="J36" s="60">
        <f t="shared" si="12"/>
        <v>52.368588915752468</v>
      </c>
      <c r="K36" s="60">
        <f t="shared" si="12"/>
        <v>52.732634893247351</v>
      </c>
      <c r="L36" s="60">
        <f t="shared" si="12"/>
        <v>46.193416698982041</v>
      </c>
      <c r="M36" s="60">
        <f t="shared" si="12"/>
        <v>42.997507392107408</v>
      </c>
      <c r="O36" s="60">
        <f>IFERROR(AVERAGE(D36:M36),0)</f>
        <v>46.869647197247154</v>
      </c>
      <c r="P36" s="60">
        <f>IFERROR(MEDIAN(D36:M36),0)</f>
        <v>46.677696143690099</v>
      </c>
    </row>
    <row r="37" spans="2:16" x14ac:dyDescent="0.3">
      <c r="B37" s="52" t="s">
        <v>184</v>
      </c>
      <c r="C37" s="47"/>
      <c r="D37" s="61">
        <f>IFERROR(365/D30,0)</f>
        <v>144.50571665626009</v>
      </c>
      <c r="E37" s="61">
        <f t="shared" ref="E37:M37" si="13">IFERROR(365/E30,0)</f>
        <v>149.02210519283818</v>
      </c>
      <c r="F37" s="61">
        <f t="shared" si="13"/>
        <v>153.55745981623585</v>
      </c>
      <c r="G37" s="61">
        <f t="shared" si="13"/>
        <v>183.94574194885871</v>
      </c>
      <c r="H37" s="61">
        <f t="shared" si="13"/>
        <v>178.79202925682029</v>
      </c>
      <c r="I37" s="61">
        <f t="shared" si="13"/>
        <v>168.45235766633192</v>
      </c>
      <c r="J37" s="61">
        <f t="shared" si="13"/>
        <v>186.20040903524091</v>
      </c>
      <c r="K37" s="61">
        <f t="shared" si="13"/>
        <v>210.69420514242194</v>
      </c>
      <c r="L37" s="61">
        <f t="shared" si="13"/>
        <v>180.95902398395825</v>
      </c>
      <c r="M37" s="61">
        <f t="shared" si="13"/>
        <v>163.77953074537726</v>
      </c>
      <c r="O37" s="61">
        <f t="shared" ref="O37:O39" si="14">IFERROR(AVERAGE(D37:M37),0)</f>
        <v>171.99085794443434</v>
      </c>
      <c r="P37" s="61">
        <f t="shared" ref="P37:P39" si="15">IFERROR(MEDIAN(D37:M37),0)</f>
        <v>173.6221934615761</v>
      </c>
    </row>
    <row r="38" spans="2:16" x14ac:dyDescent="0.3">
      <c r="B38" s="52" t="s">
        <v>185</v>
      </c>
      <c r="C38" s="47"/>
      <c r="D38" s="61">
        <f>IFERROR(365/D31,0)</f>
        <v>42.751013105235728</v>
      </c>
      <c r="E38" s="61">
        <f t="shared" ref="E38:M38" si="16">IFERROR(365/E31,0)</f>
        <v>40.600568143256986</v>
      </c>
      <c r="F38" s="61">
        <f t="shared" si="16"/>
        <v>43.653299851746382</v>
      </c>
      <c r="G38" s="61">
        <f t="shared" si="16"/>
        <v>47.484218786795374</v>
      </c>
      <c r="H38" s="61">
        <f t="shared" si="16"/>
        <v>52.753248596949661</v>
      </c>
      <c r="I38" s="61">
        <f t="shared" si="16"/>
        <v>47.161975588398164</v>
      </c>
      <c r="J38" s="61">
        <f t="shared" si="16"/>
        <v>52.368588915752468</v>
      </c>
      <c r="K38" s="61">
        <f t="shared" si="16"/>
        <v>52.732634893247351</v>
      </c>
      <c r="L38" s="61">
        <f t="shared" si="16"/>
        <v>46.193416698982041</v>
      </c>
      <c r="M38" s="61">
        <f t="shared" si="16"/>
        <v>42.997507392107408</v>
      </c>
      <c r="O38" s="61">
        <f t="shared" si="14"/>
        <v>46.869647197247154</v>
      </c>
      <c r="P38" s="61">
        <f t="shared" si="15"/>
        <v>46.677696143690099</v>
      </c>
    </row>
    <row r="39" spans="2:16" ht="15" thickBot="1" x14ac:dyDescent="0.35">
      <c r="B39" s="54" t="s">
        <v>186</v>
      </c>
      <c r="C39" s="55"/>
      <c r="D39" s="62">
        <f>IFERROR(SUM(D36,D38)-D37,0)</f>
        <v>-59.003690445788635</v>
      </c>
      <c r="E39" s="62">
        <f t="shared" ref="E39:M39" si="17">IFERROR(SUM(E36,E38)-E37,0)</f>
        <v>-67.820968906324211</v>
      </c>
      <c r="F39" s="62">
        <f t="shared" si="17"/>
        <v>-66.250860112743084</v>
      </c>
      <c r="G39" s="62">
        <f t="shared" si="17"/>
        <v>-88.977304375267963</v>
      </c>
      <c r="H39" s="62">
        <f t="shared" si="17"/>
        <v>-73.285532062920964</v>
      </c>
      <c r="I39" s="62">
        <f t="shared" si="17"/>
        <v>-74.128406489535593</v>
      </c>
      <c r="J39" s="62">
        <f t="shared" si="17"/>
        <v>-81.463231203735972</v>
      </c>
      <c r="K39" s="62">
        <f t="shared" si="17"/>
        <v>-105.22893535592723</v>
      </c>
      <c r="L39" s="62">
        <f t="shared" si="17"/>
        <v>-88.572190585994164</v>
      </c>
      <c r="M39" s="62">
        <f t="shared" si="17"/>
        <v>-77.784515961162441</v>
      </c>
      <c r="O39" s="62">
        <f t="shared" si="14"/>
        <v>-78.251563549940016</v>
      </c>
      <c r="P39" s="62">
        <f t="shared" si="15"/>
        <v>-75.956461225349017</v>
      </c>
    </row>
    <row r="40" spans="2:16" ht="15" thickBot="1" x14ac:dyDescent="0.35">
      <c r="B40" s="48"/>
    </row>
    <row r="41" spans="2:16" x14ac:dyDescent="0.3">
      <c r="B41" s="49" t="s">
        <v>187</v>
      </c>
      <c r="C41" s="50"/>
      <c r="D41" s="51">
        <f>IFERROR(HistoricalFS!C119/HistoricalFS!C5,0)</f>
        <v>0.15526603842416944</v>
      </c>
      <c r="E41" s="51">
        <f>IFERROR(HistoricalFS!D119/HistoricalFS!D5,0)</f>
        <v>0.13501823118481462</v>
      </c>
      <c r="F41" s="51">
        <f>IFERROR(HistoricalFS!E119/HistoricalFS!E5,0)</f>
        <v>0.13880296917437968</v>
      </c>
      <c r="G41" s="51">
        <f>IFERROR(HistoricalFS!F119/HistoricalFS!F5,0)</f>
        <v>0.11197659883101685</v>
      </c>
      <c r="H41" s="51">
        <f>IFERROR(HistoricalFS!G119/HistoricalFS!G5,0)</f>
        <v>8.1829465689783804E-2</v>
      </c>
      <c r="I41" s="51">
        <f>IFERROR(HistoricalFS!H119/HistoricalFS!H5,0)</f>
        <v>6.2564913902968283E-2</v>
      </c>
      <c r="J41" s="51">
        <f>IFERROR(HistoricalFS!I119/HistoricalFS!I5,0)</f>
        <v>0.10201534872316967</v>
      </c>
      <c r="K41" s="51">
        <f>IFERROR(HistoricalFS!J119/HistoricalFS!J5,0)</f>
        <v>0.11609735592921788</v>
      </c>
      <c r="L41" s="51">
        <f>IFERROR(HistoricalFS!K119/HistoricalFS!K5,0)</f>
        <v>5.1293389541856201E-2</v>
      </c>
      <c r="M41" s="51">
        <f>IFERROR(HistoricalFS!L119/HistoricalFS!L5,0)</f>
        <v>0.1022872501383586</v>
      </c>
      <c r="O41" s="51">
        <f>IFERROR(AVERAGE(D41:M41),0)</f>
        <v>0.10571515615397349</v>
      </c>
      <c r="P41" s="51">
        <f>IFERROR(MEDIAN(D41:M41),0)</f>
        <v>0.10713192448468772</v>
      </c>
    </row>
    <row r="42" spans="2:16" x14ac:dyDescent="0.3">
      <c r="B42" s="52" t="s">
        <v>188</v>
      </c>
      <c r="C42" s="47"/>
      <c r="D42" s="53">
        <f>IFERROR(HistoricalFS!C119/HistoricalFS!C69,0)</f>
        <v>0.16550759367051515</v>
      </c>
      <c r="E42" s="53">
        <f>IFERROR(HistoricalFS!D119/HistoricalFS!D69,0)</f>
        <v>0.14972206325615023</v>
      </c>
      <c r="F42" s="53">
        <f>IFERROR(HistoricalFS!E119/HistoricalFS!E69,0)</f>
        <v>0.14400390114722728</v>
      </c>
      <c r="G42" s="53">
        <f>IFERROR(HistoricalFS!F119/HistoricalFS!F69,0)</f>
        <v>0.11079026383265471</v>
      </c>
      <c r="H42" s="53">
        <f>IFERROR(HistoricalFS!G119/HistoricalFS!G69,0)</f>
        <v>7.2915700426609081E-2</v>
      </c>
      <c r="I42" s="53">
        <f>IFERROR(HistoricalFS!H119/HistoricalFS!H69,0)</f>
        <v>6.1794355046453676E-2</v>
      </c>
      <c r="J42" s="53">
        <f>IFERROR(HistoricalFS!I119/HistoricalFS!I69,0)</f>
        <v>8.3181306579414735E-2</v>
      </c>
      <c r="K42" s="53">
        <f>IFERROR(HistoricalFS!J119/HistoricalFS!J69,0)</f>
        <v>8.4903585330452558E-2</v>
      </c>
      <c r="L42" s="53">
        <f>IFERROR(HistoricalFS!K119/HistoricalFS!K69,0)</f>
        <v>4.3404744809245228E-2</v>
      </c>
      <c r="M42" s="53">
        <f>IFERROR(HistoricalFS!L119/HistoricalFS!L69,0)</f>
        <v>0.10573861289612117</v>
      </c>
      <c r="O42" s="53">
        <f t="shared" ref="O42:O43" si="18">IFERROR(AVERAGE(D42:M42),0)</f>
        <v>0.10219621269948438</v>
      </c>
      <c r="P42" s="53">
        <f t="shared" ref="P42:P43" si="19">IFERROR(MEDIAN(D42:M42),0)</f>
        <v>9.5321099113286872E-2</v>
      </c>
    </row>
    <row r="43" spans="2:16" ht="15" thickBot="1" x14ac:dyDescent="0.35">
      <c r="B43" s="54" t="s">
        <v>189</v>
      </c>
      <c r="C43" s="55"/>
      <c r="D43" s="56">
        <f>IFERROR(HistoricalFS!C119/HistoricalFS!C54,0)</f>
        <v>0.59613787608249569</v>
      </c>
      <c r="E43" s="56">
        <f>IFERROR(HistoricalFS!D119/HistoricalFS!D54,0)</f>
        <v>0.48269354366958256</v>
      </c>
      <c r="F43" s="56">
        <f>IFERROR(HistoricalFS!E119/HistoricalFS!E54,0)</f>
        <v>0.54641813518923599</v>
      </c>
      <c r="G43" s="56">
        <f>IFERROR(HistoricalFS!F119/HistoricalFS!F54,0)</f>
        <v>0.38419492244540293</v>
      </c>
      <c r="H43" s="56">
        <f>IFERROR(HistoricalFS!G119/HistoricalFS!G54,0)</f>
        <v>0.26821016235214945</v>
      </c>
      <c r="I43" s="56">
        <f>IFERROR(HistoricalFS!H119/HistoricalFS!H54,0)</f>
        <v>0.17792031558363741</v>
      </c>
      <c r="J43" s="56">
        <f>IFERROR(HistoricalFS!I119/HistoricalFS!I54,0)</f>
        <v>0.21342610534184314</v>
      </c>
      <c r="K43" s="56">
        <f>IFERROR(HistoricalFS!J119/HistoricalFS!J54,0)</f>
        <v>0.20404132622559662</v>
      </c>
      <c r="L43" s="56">
        <f>IFERROR(HistoricalFS!K119/HistoricalFS!K54,0)</f>
        <v>9.7527651770721868E-2</v>
      </c>
      <c r="M43" s="56">
        <f>IFERROR(HistoricalFS!L119/HistoricalFS!L54,0)</f>
        <v>0.26386624636576322</v>
      </c>
      <c r="O43" s="56">
        <f t="shared" si="18"/>
        <v>0.32344362850264285</v>
      </c>
      <c r="P43" s="56">
        <f t="shared" si="19"/>
        <v>0.26603820435895631</v>
      </c>
    </row>
  </sheetData>
  <mergeCells count="1">
    <mergeCell ref="B2:P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11078AE-EFB7-40CF-B552-8CED02CE70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Analysis'!D41:M41</xm:f>
              <xm:sqref>N41</xm:sqref>
            </x14:sparkline>
            <x14:sparkline>
              <xm:f>'Ratio Analysis'!D42:M42</xm:f>
              <xm:sqref>N42</xm:sqref>
            </x14:sparkline>
            <x14:sparkline>
              <xm:f>'Ratio Analysis'!D43:M43</xm:f>
              <xm:sqref>N43</xm:sqref>
            </x14:sparkline>
          </x14:sparklines>
        </x14:sparklineGroup>
        <x14:sparklineGroup displayEmptyCellsAs="gap" xr2:uid="{265FFCD5-188C-477A-959A-98877C5F45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Analysis'!D36:M36</xm:f>
              <xm:sqref>N36</xm:sqref>
            </x14:sparkline>
            <x14:sparkline>
              <xm:f>'Ratio Analysis'!D37:M37</xm:f>
              <xm:sqref>N37</xm:sqref>
            </x14:sparkline>
            <x14:sparkline>
              <xm:f>'Ratio Analysis'!D38:M38</xm:f>
              <xm:sqref>N38</xm:sqref>
            </x14:sparkline>
            <x14:sparkline>
              <xm:f>'Ratio Analysis'!D39:M39</xm:f>
              <xm:sqref>N39</xm:sqref>
            </x14:sparkline>
          </x14:sparklines>
        </x14:sparklineGroup>
        <x14:sparklineGroup displayEmptyCellsAs="gap" xr2:uid="{93745332-B802-4A6E-A2D6-7C556FE74F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Analysis'!D29:M29</xm:f>
              <xm:sqref>N29</xm:sqref>
            </x14:sparkline>
            <x14:sparkline>
              <xm:f>'Ratio Analysis'!D30:M30</xm:f>
              <xm:sqref>N30</xm:sqref>
            </x14:sparkline>
            <x14:sparkline>
              <xm:f>'Ratio Analysis'!D31:M31</xm:f>
              <xm:sqref>N31</xm:sqref>
            </x14:sparkline>
            <x14:sparkline>
              <xm:f>'Ratio Analysis'!D32:M32</xm:f>
              <xm:sqref>N32</xm:sqref>
            </x14:sparkline>
            <x14:sparkline>
              <xm:f>'Ratio Analysis'!D33:M33</xm:f>
              <xm:sqref>N33</xm:sqref>
            </x14:sparkline>
          </x14:sparklines>
        </x14:sparklineGroup>
        <x14:sparklineGroup displayEmptyCellsAs="gap" xr2:uid="{27124320-9A5C-497B-9B5B-5EDFCF19E8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Analysis'!D23:M23</xm:f>
              <xm:sqref>N23</xm:sqref>
            </x14:sparkline>
            <x14:sparkline>
              <xm:f>'Ratio Analysis'!D24:M24</xm:f>
              <xm:sqref>N24</xm:sqref>
            </x14:sparkline>
            <x14:sparkline>
              <xm:f>'Ratio Analysis'!D25:M25</xm:f>
              <xm:sqref>N25</xm:sqref>
            </x14:sparkline>
            <x14:sparkline>
              <xm:f>'Ratio Analysis'!D26:M26</xm:f>
              <xm:sqref>N26</xm:sqref>
            </x14:sparkline>
            <x14:sparkline>
              <xm:f>'Ratio Analysis'!D27:M27</xm:f>
              <xm:sqref>N27</xm:sqref>
            </x14:sparkline>
          </x14:sparklines>
        </x14:sparklineGroup>
        <x14:sparklineGroup displayEmptyCellsAs="gap" xr2:uid="{9648B04F-50D4-4DCF-AACD-7F97184905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Analysis'!D19:M19</xm:f>
              <xm:sqref>N19</xm:sqref>
            </x14:sparkline>
            <x14:sparkline>
              <xm:f>'Ratio Analysis'!D20:M20</xm:f>
              <xm:sqref>N20</xm:sqref>
            </x14:sparkline>
            <x14:sparkline>
              <xm:f>'Ratio Analysis'!D21:M21</xm:f>
              <xm:sqref>N21</xm:sqref>
            </x14:sparkline>
          </x14:sparklines>
        </x14:sparklineGroup>
        <x14:sparklineGroup displayEmptyCellsAs="gap" xr2:uid="{A22FFE4D-AC1A-489D-8F13-9272D8D36F2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Analysis'!D11:M11</xm:f>
              <xm:sqref>N11</xm:sqref>
            </x14:sparkline>
            <x14:sparkline>
              <xm:f>'Ratio Analysis'!D12:M12</xm:f>
              <xm:sqref>N12</xm:sqref>
            </x14:sparkline>
            <x14:sparkline>
              <xm:f>'Ratio Analysis'!D13:M13</xm:f>
              <xm:sqref>N13</xm:sqref>
            </x14:sparkline>
            <x14:sparkline>
              <xm:f>'Ratio Analysis'!D14:M14</xm:f>
              <xm:sqref>N14</xm:sqref>
            </x14:sparkline>
            <x14:sparkline>
              <xm:f>'Ratio Analysis'!D15:M15</xm:f>
              <xm:sqref>N15</xm:sqref>
            </x14:sparkline>
          </x14:sparklines>
        </x14:sparklineGroup>
        <x14:sparklineGroup displayEmptyCellsAs="gap" xr2:uid="{9CD00CD1-E3EF-46AE-9775-5AE0E32390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Analysis'!E5:M5</xm:f>
              <xm:sqref>N5</xm:sqref>
            </x14:sparkline>
            <x14:sparkline>
              <xm:f>'Ratio Analysis'!E6:M6</xm:f>
              <xm:sqref>N6</xm:sqref>
            </x14:sparkline>
            <x14:sparkline>
              <xm:f>'Ratio Analysis'!E7:M7</xm:f>
              <xm:sqref>N7</xm:sqref>
            </x14:sparkline>
            <x14:sparkline>
              <xm:f>'Ratio Analysis'!E8:M8</xm:f>
              <xm:sqref>N8</xm:sqref>
            </x14:sparkline>
            <x14:sparkline>
              <xm:f>'Ratio Analysis'!E9:M9</xm:f>
              <xm:sqref>N9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1CB9-1744-4B17-8D4A-4516A93F2E09}">
  <sheetPr>
    <tabColor rgb="FF00206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Profit &amp; Loss</vt:lpstr>
      <vt:lpstr>Quarters</vt:lpstr>
      <vt:lpstr>Balance Sheet</vt:lpstr>
      <vt:lpstr>Cash Flow</vt:lpstr>
      <vt:lpstr>Customization</vt:lpstr>
      <vt:lpstr>Financials&gt;</vt:lpstr>
      <vt:lpstr>HistoricalFS</vt:lpstr>
      <vt:lpstr>Ratio Analysis</vt:lpstr>
      <vt:lpstr>Data&gt;</vt:lpstr>
      <vt:lpstr>Data Sheet</vt:lpstr>
      <vt:lpstr>Cash flow data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Sashank</cp:lastModifiedBy>
  <cp:lastPrinted>2023-12-26T07:35:59Z</cp:lastPrinted>
  <dcterms:created xsi:type="dcterms:W3CDTF">2012-08-17T09:55:37Z</dcterms:created>
  <dcterms:modified xsi:type="dcterms:W3CDTF">2024-01-03T15:43:23Z</dcterms:modified>
</cp:coreProperties>
</file>