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autoCompressPictures="0" defaultThemeVersion="124226"/>
  <mc:AlternateContent xmlns:mc="http://schemas.openxmlformats.org/markup-compatibility/2006">
    <mc:Choice Requires="x15">
      <x15ac:absPath xmlns:x15ac="http://schemas.microsoft.com/office/spreadsheetml/2010/11/ac" url="/Users/devarshipancholi/Downloads/"/>
    </mc:Choice>
  </mc:AlternateContent>
  <xr:revisionPtr revIDLastSave="0" documentId="13_ncr:1_{03EB5086-147B-C545-9930-000F1C39CDF4}" xr6:coauthVersionLast="43" xr6:coauthVersionMax="43" xr10:uidLastSave="{00000000-0000-0000-0000-000000000000}"/>
  <bookViews>
    <workbookView xWindow="0" yWindow="460" windowWidth="28800" windowHeight="17540" tabRatio="694" firstSheet="1" activeTab="1" xr2:uid="{00000000-000D-0000-FFFF-FFFF00000000}"/>
  </bookViews>
  <sheets>
    <sheet name="DIRECTIONS PLEASE READ FIRST" sheetId="37" r:id="rId1"/>
    <sheet name="Problem #1" sheetId="45" r:id="rId2"/>
    <sheet name="Problem #2" sheetId="39" r:id="rId3"/>
    <sheet name="Problem #3" sheetId="44" r:id="rId4"/>
    <sheet name="3" sheetId="31" state="hidden" r:id="rId5"/>
    <sheet name="Problem #4" sheetId="22" r:id="rId6"/>
    <sheet name="Problem #5" sheetId="32" r:id="rId7"/>
    <sheet name="Problem #6" sheetId="34" r:id="rId8"/>
    <sheet name="Problem #7" sheetId="8" r:id="rId9"/>
    <sheet name=" Problem #8" sheetId="35" r:id="rId10"/>
    <sheet name="Problem #9" sheetId="41" r:id="rId11"/>
    <sheet name="Problem #10" sheetId="47" r:id="rId1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2" i="22" l="1"/>
  <c r="B32" i="22"/>
  <c r="F32" i="22" s="1"/>
  <c r="C31" i="22"/>
  <c r="C33" i="22" s="1"/>
  <c r="B31" i="22"/>
  <c r="F31" i="22" s="1"/>
  <c r="C29" i="22"/>
  <c r="C34" i="22" s="1"/>
  <c r="D28" i="22"/>
  <c r="C28" i="22"/>
  <c r="B28" i="22"/>
  <c r="E28" i="22" s="1"/>
  <c r="E29" i="22" s="1"/>
  <c r="F27" i="22"/>
  <c r="D27" i="22"/>
  <c r="B27" i="22"/>
  <c r="B29" i="22" s="1"/>
  <c r="F24" i="41"/>
  <c r="B14" i="22"/>
  <c r="C9" i="35"/>
  <c r="F23" i="41"/>
  <c r="C23" i="34"/>
  <c r="C22" i="34"/>
  <c r="D29" i="22" l="1"/>
  <c r="D34" i="22" s="1"/>
  <c r="F29" i="22"/>
  <c r="F28" i="22"/>
  <c r="D31" i="22"/>
  <c r="D33" i="22" s="1"/>
  <c r="E31" i="22"/>
  <c r="B33" i="22"/>
  <c r="E36" i="47"/>
  <c r="E37" i="47"/>
  <c r="E38" i="47"/>
  <c r="B47" i="47"/>
  <c r="D47" i="47" s="1"/>
  <c r="B48" i="47"/>
  <c r="F48" i="47" s="1"/>
  <c r="B49" i="47"/>
  <c r="H49" i="47" s="1"/>
  <c r="B51" i="41"/>
  <c r="B58" i="41" s="1"/>
  <c r="B57" i="41"/>
  <c r="B65" i="41"/>
  <c r="B71" i="41" s="1"/>
  <c r="C30" i="34"/>
  <c r="C31" i="34" s="1"/>
  <c r="C21" i="34"/>
  <c r="C24" i="34" s="1"/>
  <c r="B11" i="32"/>
  <c r="B26" i="32"/>
  <c r="B28" i="32" s="1"/>
  <c r="F33" i="22" l="1"/>
  <c r="E33" i="22"/>
  <c r="E34" i="22" s="1"/>
  <c r="B34" i="22"/>
  <c r="F34" i="22" s="1"/>
  <c r="J49" i="47"/>
  <c r="J48" i="47"/>
  <c r="J47" i="47"/>
  <c r="J51" i="47" s="1"/>
  <c r="D48" i="47"/>
  <c r="F47" i="47"/>
  <c r="F49" i="47"/>
  <c r="H47" i="47"/>
  <c r="H51" i="47" s="1"/>
  <c r="D49" i="47"/>
  <c r="K49" i="47" s="1"/>
  <c r="H48" i="47"/>
  <c r="D51" i="47" l="1"/>
  <c r="K48" i="47"/>
  <c r="F51" i="47"/>
  <c r="K47" i="47"/>
  <c r="K51" i="47" s="1"/>
  <c r="E14" i="22"/>
  <c r="C24" i="35"/>
  <c r="B21" i="35"/>
  <c r="B20" i="35"/>
  <c r="E6" i="34"/>
  <c r="B13" i="22"/>
  <c r="E19" i="22"/>
  <c r="E17" i="22"/>
  <c r="D76" i="41" l="1"/>
  <c r="B23" i="39"/>
  <c r="C17" i="39"/>
  <c r="C16" i="39"/>
  <c r="C15" i="39"/>
  <c r="D79" i="41" l="1"/>
  <c r="B17" i="39"/>
  <c r="B19" i="39"/>
  <c r="B20" i="39"/>
  <c r="B21" i="39"/>
  <c r="B15" i="39"/>
  <c r="B9" i="39"/>
  <c r="B11" i="39"/>
  <c r="B12" i="39"/>
  <c r="B13" i="39"/>
  <c r="C9" i="39"/>
  <c r="C8" i="39"/>
  <c r="C7" i="39"/>
  <c r="C20" i="22"/>
  <c r="D19" i="22"/>
  <c r="C19" i="22"/>
  <c r="B19" i="22"/>
  <c r="D17" i="22"/>
  <c r="D13" i="22"/>
  <c r="B17" i="22"/>
  <c r="C17" i="22"/>
  <c r="C15" i="22"/>
  <c r="C14" i="22"/>
  <c r="D14" i="22"/>
  <c r="D23" i="41"/>
  <c r="D35" i="41"/>
  <c r="B22" i="47"/>
  <c r="B23" i="47" s="1"/>
  <c r="D22" i="47"/>
  <c r="E19" i="44"/>
  <c r="E18" i="44"/>
  <c r="D19" i="44"/>
  <c r="D17" i="44"/>
  <c r="B9" i="44"/>
  <c r="B19" i="44"/>
  <c r="B17" i="44"/>
  <c r="C14" i="44"/>
  <c r="C19" i="44"/>
  <c r="C18" i="44"/>
  <c r="E8" i="44"/>
  <c r="E12" i="44"/>
  <c r="D13" i="44"/>
  <c r="B12" i="44"/>
  <c r="D7" i="44"/>
  <c r="C8" i="44"/>
  <c r="E8" i="34"/>
  <c r="A14" i="34"/>
  <c r="D20" i="35"/>
  <c r="D21" i="35"/>
  <c r="D9" i="35"/>
  <c r="D10" i="35"/>
  <c r="D11" i="35"/>
  <c r="D12" i="35"/>
  <c r="D13" i="35"/>
  <c r="D14" i="35"/>
  <c r="D15" i="35"/>
  <c r="D16" i="35"/>
  <c r="D17" i="35"/>
  <c r="D18" i="35"/>
  <c r="D19" i="35"/>
  <c r="C10" i="35"/>
  <c r="C11" i="35"/>
  <c r="C20" i="35"/>
  <c r="C12" i="35"/>
  <c r="C13" i="35"/>
  <c r="C14" i="35"/>
  <c r="C15" i="35"/>
  <c r="C16" i="35"/>
  <c r="C17" i="35"/>
  <c r="C18" i="35"/>
  <c r="C19" i="35"/>
  <c r="B6" i="8"/>
  <c r="F5" i="8"/>
  <c r="D5" i="8"/>
  <c r="E7" i="8"/>
  <c r="C7" i="8"/>
  <c r="C6" i="8"/>
  <c r="D37" i="45"/>
  <c r="D25" i="45"/>
  <c r="E25" i="45"/>
  <c r="D38" i="45"/>
  <c r="D33" i="45"/>
  <c r="E24" i="45"/>
  <c r="E23" i="45"/>
  <c r="D27" i="45"/>
  <c r="D28" i="45"/>
  <c r="D29" i="45"/>
  <c r="C22" i="47"/>
  <c r="E22" i="47"/>
  <c r="D16" i="47"/>
  <c r="E16" i="47"/>
  <c r="C16" i="47"/>
  <c r="B18" i="22"/>
  <c r="A9" i="35"/>
  <c r="A10" i="35" s="1"/>
  <c r="A11" i="35" s="1"/>
  <c r="A12" i="35" s="1"/>
  <c r="A13" i="35" s="1"/>
  <c r="A14" i="35" s="1"/>
  <c r="A15" i="35" s="1"/>
  <c r="A16" i="35" s="1"/>
  <c r="A17" i="35" s="1"/>
  <c r="A18" i="35" s="1"/>
  <c r="A19" i="35" s="1"/>
  <c r="G94" i="39"/>
  <c r="G93" i="39"/>
  <c r="B15" i="31"/>
  <c r="B24" i="31"/>
  <c r="B25" i="31"/>
  <c r="D20" i="31"/>
  <c r="B40" i="31"/>
  <c r="B43" i="31"/>
  <c r="B44" i="31"/>
  <c r="B52" i="31"/>
  <c r="B54" i="31"/>
  <c r="D26" i="31"/>
  <c r="D23" i="31"/>
  <c r="B27" i="31"/>
  <c r="D32" i="31"/>
  <c r="D29" i="31"/>
  <c r="B58" i="31"/>
  <c r="B59" i="31"/>
  <c r="B62" i="31"/>
  <c r="B30" i="31"/>
  <c r="D26" i="41" l="1"/>
  <c r="F22" i="41"/>
  <c r="C23" i="47"/>
  <c r="D23" i="47"/>
  <c r="E23" i="47"/>
  <c r="C23" i="35"/>
  <c r="D37" i="41"/>
  <c r="F21" i="41" s="1"/>
  <c r="B15" i="22"/>
  <c r="E15" i="22" s="1"/>
  <c r="D15" i="22" l="1"/>
  <c r="D20" i="22" s="1"/>
  <c r="B20" i="22"/>
  <c r="E20" i="22" s="1"/>
  <c r="F20" i="22" l="1"/>
  <c r="F17" i="22"/>
  <c r="F18" i="22"/>
  <c r="F19" i="22"/>
  <c r="F13" i="22"/>
  <c r="F14" i="22"/>
  <c r="F15" i="22"/>
</calcChain>
</file>

<file path=xl/sharedStrings.xml><?xml version="1.0" encoding="utf-8"?>
<sst xmlns="http://schemas.openxmlformats.org/spreadsheetml/2006/main" count="434" uniqueCount="339">
  <si>
    <t>Interest</t>
  </si>
  <si>
    <t>Revenues</t>
  </si>
  <si>
    <t>Total Variable Costs</t>
  </si>
  <si>
    <t>Fixed Costs</t>
  </si>
  <si>
    <t>Total Costs</t>
  </si>
  <si>
    <t>Consider the data in the table below for three health services organization:</t>
  </si>
  <si>
    <t>Expenses:</t>
  </si>
  <si>
    <t>Net Income</t>
  </si>
  <si>
    <t>Balance Sheet</t>
  </si>
  <si>
    <t>Net property and equipment</t>
  </si>
  <si>
    <t>Assets</t>
  </si>
  <si>
    <t>Liabilities and Shareholders' Equity</t>
  </si>
  <si>
    <t>Long term debt</t>
  </si>
  <si>
    <t>EXPENDITURES BY TYPE</t>
  </si>
  <si>
    <t>Net Change (Variance)</t>
  </si>
  <si>
    <t>Percent Change Budgeted vs. Actual</t>
  </si>
  <si>
    <t xml:space="preserve">Salaries </t>
  </si>
  <si>
    <t>Operating Expenditures</t>
  </si>
  <si>
    <t>Supplies</t>
  </si>
  <si>
    <t>Equipment</t>
  </si>
  <si>
    <t>Subtotal Operating Expenditures</t>
  </si>
  <si>
    <t>Total Expenditures</t>
  </si>
  <si>
    <t>Analysis/Observation</t>
  </si>
  <si>
    <t>Profit/Loss</t>
  </si>
  <si>
    <t>Clinic A</t>
  </si>
  <si>
    <t>Clinic B</t>
  </si>
  <si>
    <t>Clinic C</t>
  </si>
  <si>
    <t>Clinic D</t>
  </si>
  <si>
    <t xml:space="preserve">Liabilities </t>
  </si>
  <si>
    <t>Equity</t>
  </si>
  <si>
    <t>Total revenues</t>
  </si>
  <si>
    <t>Total expenses</t>
  </si>
  <si>
    <t>Percent of Total Expenditures Spent</t>
  </si>
  <si>
    <t>a)</t>
  </si>
  <si>
    <t>b)</t>
  </si>
  <si>
    <t>c)</t>
  </si>
  <si>
    <t>Income Sheet</t>
  </si>
  <si>
    <t>Net patient service revenue</t>
  </si>
  <si>
    <t>Other revenue</t>
  </si>
  <si>
    <t>Total revenue</t>
  </si>
  <si>
    <t>Salaries and benefits</t>
  </si>
  <si>
    <t>Medical supplies</t>
  </si>
  <si>
    <t>Insurance</t>
  </si>
  <si>
    <t>Provision for bad debt</t>
  </si>
  <si>
    <t>Operating income</t>
  </si>
  <si>
    <t>Provision for income taxes</t>
  </si>
  <si>
    <t>Net income</t>
  </si>
  <si>
    <t>Retained earnings</t>
  </si>
  <si>
    <t>Statement of Income and Retained Earnings</t>
  </si>
  <si>
    <t>Retained earnings, end of year</t>
  </si>
  <si>
    <t>Retained earnings, beginning of year</t>
  </si>
  <si>
    <t>Current Assets:</t>
  </si>
  <si>
    <t>Cash</t>
  </si>
  <si>
    <t>Marketable securities</t>
  </si>
  <si>
    <t>Net patient accounts receivable</t>
  </si>
  <si>
    <t>Total current assets</t>
  </si>
  <si>
    <t>Less: accumulated depreciation</t>
  </si>
  <si>
    <t>Total assets</t>
  </si>
  <si>
    <t>Current Liabilities</t>
  </si>
  <si>
    <t>Accounts payable</t>
  </si>
  <si>
    <t>Accrued expenses</t>
  </si>
  <si>
    <t>Notes payable</t>
  </si>
  <si>
    <t>Current portion of long term debt</t>
  </si>
  <si>
    <t>Total current liabilities</t>
  </si>
  <si>
    <t>Shareholders' Equity:</t>
  </si>
  <si>
    <t>Common stock, $10 par value</t>
  </si>
  <si>
    <t>Total shareholders' equity</t>
  </si>
  <si>
    <t>Total liabilities and shareholders'</t>
  </si>
  <si>
    <t>equity</t>
  </si>
  <si>
    <t>Income Statement</t>
  </si>
  <si>
    <t>Fiscal Year</t>
  </si>
  <si>
    <t>Collections</t>
  </si>
  <si>
    <t>Amount</t>
  </si>
  <si>
    <t>Name</t>
  </si>
  <si>
    <t>Please fill in the highlighted cells (YOU MUST USE EXCEL FORMULAS FOR CREDIT)</t>
  </si>
  <si>
    <t xml:space="preserve">MPA HEALTHCARE WALK-IN CLINIC </t>
  </si>
  <si>
    <t>Net working capital</t>
  </si>
  <si>
    <t>Debt Ratio</t>
  </si>
  <si>
    <t>Profit Margin</t>
  </si>
  <si>
    <t>Return on Assets</t>
  </si>
  <si>
    <t>MPA Medical Center</t>
  </si>
  <si>
    <t>Year Ended December 31, 2016</t>
  </si>
  <si>
    <t>Balance Sheet, December 31, 2016</t>
  </si>
  <si>
    <t>Approximate Cash Flow</t>
  </si>
  <si>
    <t xml:space="preserve">3)  What is the Center's  net working capital? </t>
  </si>
  <si>
    <t>*</t>
  </si>
  <si>
    <t>6)   What is MPA Medical Center's Return on Assets?</t>
  </si>
  <si>
    <t xml:space="preserve"> Consider MPA Medical Center's Financial Statements below</t>
  </si>
  <si>
    <t xml:space="preserve">1)  Please complete MPA Medical Center's Statement of Income and Retained Earnings, and Balance Sheet </t>
  </si>
  <si>
    <t>2)  What is the Center's approximate cash flow?</t>
  </si>
  <si>
    <t>5)  What is MPA Medical Center's debt ratio?</t>
  </si>
  <si>
    <t>4)  What is the Center's profit margin?</t>
  </si>
  <si>
    <t>Fill in the missing data using equations in excel</t>
  </si>
  <si>
    <t>b)  What is the after tax total amount of your investment?</t>
  </si>
  <si>
    <t xml:space="preserve">d)  What interest rate would Nonprofit FRH have to offer for you to be indifferent between these two investments?   </t>
  </si>
  <si>
    <t>Depreciation</t>
  </si>
  <si>
    <t>Property and equipment</t>
  </si>
  <si>
    <t>Total Liabilities</t>
  </si>
  <si>
    <t>Accumulated Depreciation</t>
  </si>
  <si>
    <t>Notes</t>
  </si>
  <si>
    <t>Investment</t>
  </si>
  <si>
    <t>LIU</t>
  </si>
  <si>
    <t>SCHOOL OF BUSINESS, PUBLIC ADMINISTRATION AND LIBRARY SCIENCES</t>
  </si>
  <si>
    <t>Dr. Helisse Levine</t>
  </si>
  <si>
    <t>Directions:</t>
  </si>
  <si>
    <t xml:space="preserve">Please answer the ten problems as indicated on each numbered worksheet.   </t>
  </si>
  <si>
    <t>Use your lecture notes, handouts and reading materials as your sources to solve the problems.    .</t>
  </si>
  <si>
    <t>You may look to outside sources if you feel they will enhance your answers, although it is NOT required.  If you do, please cite references.</t>
  </si>
  <si>
    <t>Good luck, breathe and enjoy the process.</t>
  </si>
  <si>
    <t>Prof. Levine</t>
  </si>
  <si>
    <t>During 2017</t>
  </si>
  <si>
    <t>PLEASE SHOW ALL YOUR WORK IN EXCEL</t>
  </si>
  <si>
    <t>MIDTERM EXAM</t>
  </si>
  <si>
    <t>HEALTHCARE FINANCE</t>
  </si>
  <si>
    <t>MASTER OF PUBLIC ADMINISTRATION</t>
  </si>
  <si>
    <t>Adopted Budget in beginning of (January 2017) Year</t>
  </si>
  <si>
    <t>End of Year (December 2017 Actual/Spent)</t>
  </si>
  <si>
    <t xml:space="preserve">Assume you are the owner of your own HC clinic.  You purchased a computer system for  $52,000.  </t>
  </si>
  <si>
    <t>2)  What amount would appear on BOTH the balance sheet and income statement at the end of 1 year, and under what names?</t>
  </si>
  <si>
    <t>Problem #3 (10 Points)</t>
  </si>
  <si>
    <t>Property and Equipment</t>
  </si>
  <si>
    <t>Dupont Analysis</t>
  </si>
  <si>
    <t xml:space="preserve">1)  Please prepare MPA's balance sheet </t>
  </si>
  <si>
    <t>Net patient accounts receivables</t>
  </si>
  <si>
    <t>Accounts Payable</t>
  </si>
  <si>
    <t>Accrued Expenses</t>
  </si>
  <si>
    <t>Notes Payable</t>
  </si>
  <si>
    <t>2)  What is MPA's net working capital?</t>
  </si>
  <si>
    <t>3)  What is MPA's debt ratio?</t>
  </si>
  <si>
    <t xml:space="preserve">a)  How much interest would you receive net of the tax on the investment?  </t>
  </si>
  <si>
    <t xml:space="preserve"> </t>
  </si>
  <si>
    <t>MPA 613, Spring 2019</t>
  </si>
  <si>
    <t>SPRING 2019</t>
  </si>
  <si>
    <t xml:space="preserve">Due:  Sunday, March 17, 2019  at 11:59 PM ON BLACKBOARD - NO EXCEPTIONS </t>
  </si>
  <si>
    <t>Wages and benefits</t>
  </si>
  <si>
    <t>Rent</t>
  </si>
  <si>
    <t>Utilities</t>
  </si>
  <si>
    <t>Administrative supplies</t>
  </si>
  <si>
    <t xml:space="preserve">Assume that all costs are fixed, except supply costs, which are variable. </t>
  </si>
  <si>
    <t xml:space="preserve">Furthermore, assume that the clinic must pay taxes at a 30 percent rate. </t>
  </si>
  <si>
    <t xml:space="preserve">b. What number of visits is required to break even? </t>
  </si>
  <si>
    <t xml:space="preserve">Revenues (10,000 visits) </t>
  </si>
  <si>
    <t>A)  Profit and Loss Statement</t>
  </si>
  <si>
    <t>Based on the P&amp;L statement from Problem #1,  assume the Walk in clinic contracts with one HMO</t>
  </si>
  <si>
    <t xml:space="preserve"> -The HMO plan proposes a 23.5 percent discount from charges on 30% of its patients. </t>
  </si>
  <si>
    <t xml:space="preserve">Should the Walk in Clinic accept the discount?  </t>
  </si>
  <si>
    <t>Adopted vs Actual Budget (Fiscal Year Ended 12/31/2018)</t>
  </si>
  <si>
    <t>4)  ABC spent $300 more on equipment than budgeted</t>
  </si>
  <si>
    <t xml:space="preserve">5)  What is your observation of each line item? </t>
  </si>
  <si>
    <t>Fringe Benefits</t>
  </si>
  <si>
    <t>2) Fringe benefits budget is a given at 32.5% of Salaries;</t>
  </si>
  <si>
    <t>1)  Salaries at the end of the year came in 11.5% less than budgeted</t>
  </si>
  <si>
    <t>Total Personal Expenses</t>
  </si>
  <si>
    <t>3)  Supplies were budgeted at 2.125% of Salaries in January 2017 but ABC actually spent 5.5% more than budgeted</t>
  </si>
  <si>
    <r>
      <t xml:space="preserve">Assume you are in the </t>
    </r>
    <r>
      <rPr>
        <sz val="12"/>
        <color theme="1"/>
        <rFont val="Calibri"/>
        <family val="2"/>
        <scheme val="minor"/>
      </rPr>
      <t xml:space="preserve">22.5 percent personal tax bracket.  </t>
    </r>
  </si>
  <si>
    <t xml:space="preserve">You are considering investing $15,500 in for profit Universal Health Services (UHS) bonds that carry an 11.25 percent interest rate.  </t>
  </si>
  <si>
    <t xml:space="preserve">c)  Now, consider that Not for Profit Florida Regional Health System (FRH) has issued tax-exempt bonds that have an interest rate of 7.5 percent to finance a new Women's and Children's Pavillion.   </t>
  </si>
  <si>
    <t>With all else the same, should you buy $15,500 of the taxable UHS bonds at 11.25% interest, or $15,500 of Florida Regional Health bonds?</t>
  </si>
  <si>
    <t>General Admissions</t>
  </si>
  <si>
    <t>Facilities</t>
  </si>
  <si>
    <t>Financial Service</t>
  </si>
  <si>
    <t>Direct Costs</t>
  </si>
  <si>
    <t>Support:</t>
  </si>
  <si>
    <t>Space (square feet)</t>
  </si>
  <si>
    <t>Department</t>
  </si>
  <si>
    <t>Housekeeping (Labor hours)</t>
  </si>
  <si>
    <t>Salary (Dollars)</t>
  </si>
  <si>
    <t>Patient Services Revenue</t>
  </si>
  <si>
    <t xml:space="preserve">  General Admission</t>
  </si>
  <si>
    <t xml:space="preserve"> Facilities</t>
  </si>
  <si>
    <t xml:space="preserve"> Financial Services</t>
  </si>
  <si>
    <t xml:space="preserve">       Total</t>
  </si>
  <si>
    <t>Patient Services:</t>
  </si>
  <si>
    <t xml:space="preserve">  Routine Care</t>
  </si>
  <si>
    <t xml:space="preserve">  Intensive Care</t>
  </si>
  <si>
    <t xml:space="preserve">  Diagnostic Services</t>
  </si>
  <si>
    <t xml:space="preserve">  Other Services</t>
  </si>
  <si>
    <t xml:space="preserve">      Total</t>
  </si>
  <si>
    <t xml:space="preserve">      Grand Total</t>
  </si>
  <si>
    <t>Assume the cost driver for general admission and financial services is patient service revenue</t>
  </si>
  <si>
    <t>Assume the cost drive for facilities is space utilization</t>
  </si>
  <si>
    <t>b. Use an allocation table  to allocate the hospital’s overhead costs to the patient services departments</t>
  </si>
  <si>
    <t xml:space="preserve">Please use the following data:  </t>
  </si>
  <si>
    <t>Brooklyn Hospital Center has three support departments and four patient services departments. The direct costs to each of the support departments are as follows:</t>
  </si>
  <si>
    <t xml:space="preserve">a. What are the appropriate allocation rates? </t>
  </si>
  <si>
    <t>Please complete the budgeting analysis based on the following information, by filling out the chart below - you must use excel for credit</t>
  </si>
  <si>
    <t>1)  What value would appear on BOTH the balance sheet and income statement at the end of 3.5 years, and under what names?</t>
  </si>
  <si>
    <t xml:space="preserve">MPA Healthcare Urgent Care reported the following assets and liabilities </t>
  </si>
  <si>
    <t>Operating Revenues</t>
  </si>
  <si>
    <t>Patient service revenue</t>
  </si>
  <si>
    <t>Less: Provision for Bad Debt</t>
  </si>
  <si>
    <t>Net Patient Service Revenue</t>
  </si>
  <si>
    <t>Premium revenue</t>
  </si>
  <si>
    <t>  Total revenues</t>
  </si>
  <si>
    <t>Expenses</t>
  </si>
  <si>
    <t>Lease</t>
  </si>
  <si>
    <t> Total Expenses</t>
  </si>
  <si>
    <t xml:space="preserve">YOU MUST SHOW COMPLETE PROFIT &amp; LOSS STATESMENTS AND CONTRIBUTION MARGINS FOR BOTH SCENARIOS  </t>
  </si>
  <si>
    <t>YOU MUST SHOW  HOW YOU DERIVED YOUR ANSWER (DO NOT JUST PUT IN A NUMBER IN THE CELL)</t>
  </si>
  <si>
    <r>
      <t xml:space="preserve">Using both </t>
    </r>
    <r>
      <rPr>
        <sz val="12"/>
        <color rgb="FFFF0000"/>
        <rFont val="Calibri (Body)_x0000_"/>
      </rPr>
      <t>percentage change and moving average methods,</t>
    </r>
    <r>
      <rPr>
        <sz val="12"/>
        <color theme="1"/>
        <rFont val="Calibri"/>
        <family val="2"/>
        <scheme val="minor"/>
      </rPr>
      <t xml:space="preserve"> please develop a two year forecast based on MPA Pediatrics Clinic's revenues from the previous 12 years.  Please graph.</t>
    </r>
  </si>
  <si>
    <t>MPA Healthcare Income Statement</t>
  </si>
  <si>
    <t>You are considering starting a walk-in clinic. Your financial projections for the first year of operations are below:</t>
  </si>
  <si>
    <t>YOU MUST SHOW ALL YOUR WORK IN EXCEL</t>
  </si>
  <si>
    <t>a. Construct the clinic’s projected P&amp;L statement including 1) The Contribution Margin and Total Contribution Margin and 2) Pre and Post Tax Profit</t>
  </si>
  <si>
    <t>c. What number of visits is required to provide you with a  profit of $125,500?</t>
  </si>
  <si>
    <t xml:space="preserve">You expect to use it for 7.5 years and sell it at $5,000 (salvage value). </t>
  </si>
  <si>
    <t>4) Then complete the Income Statement given to perform a  Dupont Analysis</t>
  </si>
  <si>
    <t>THIS IS AN INDIVIDUAL ASSIGNMENT.  DO NOT COPY OR USE ANY OTHER INDIVIDUAL'S WORK.</t>
  </si>
  <si>
    <t>Walk in clinic</t>
  </si>
  <si>
    <t>Part a</t>
  </si>
  <si>
    <t>per unit</t>
  </si>
  <si>
    <t>(given)</t>
  </si>
  <si>
    <t>less Variable cost</t>
  </si>
  <si>
    <t>medical supplies + administrative supplies)</t>
  </si>
  <si>
    <t>Contribution Margin</t>
  </si>
  <si>
    <t>(revenues - variable costs)</t>
  </si>
  <si>
    <t>less fixed cost</t>
  </si>
  <si>
    <t>(wages and benefits + rent + depreciation + utilities)</t>
  </si>
  <si>
    <t>Profit before taxes</t>
  </si>
  <si>
    <t>(contribution margin - fixed cost)</t>
  </si>
  <si>
    <t>less taxes</t>
  </si>
  <si>
    <t>(tax rate = 30%)</t>
  </si>
  <si>
    <t>Profit after taxes</t>
  </si>
  <si>
    <t>Part b</t>
  </si>
  <si>
    <t xml:space="preserve">Break even point </t>
  </si>
  <si>
    <t>visits</t>
  </si>
  <si>
    <t>(fixed cost / contribution margin per unit)</t>
  </si>
  <si>
    <t>Part c</t>
  </si>
  <si>
    <t>Profit before tax</t>
  </si>
  <si>
    <t>(profit after tax / 70%)</t>
  </si>
  <si>
    <t xml:space="preserve">Target visit </t>
  </si>
  <si>
    <t>(profit before tax + fixed cost) / contribution margin per unit</t>
  </si>
  <si>
    <t>Fixed cost = Total costs - Total variable costs</t>
  </si>
  <si>
    <t>Profit = Revenue - Total cost</t>
  </si>
  <si>
    <t>Revenue = Profit + Total Costs</t>
  </si>
  <si>
    <t>Total variable costs = Total costs - Fixed cost</t>
  </si>
  <si>
    <t>Total costs = Revenues - Profit</t>
  </si>
  <si>
    <t>Average percentage change</t>
  </si>
  <si>
    <t>Forecaset (in one step)</t>
  </si>
  <si>
    <t>Percentage Change</t>
  </si>
  <si>
    <t>Moving Average</t>
  </si>
  <si>
    <t>PART C</t>
  </si>
  <si>
    <t>we should buy UHS bonds which gives after tax amount of  $16851 instead of FRH bonds which gives $16662 ( WHICH IS $189 MORE )</t>
  </si>
  <si>
    <t>THIS IS THE INTEREST RATE REQUIRED BY UHS BONDS IN ORDER MATCH THE RETURNS OF FRH BONDS</t>
  </si>
  <si>
    <t>Increase in equity</t>
  </si>
  <si>
    <t>Two key concepts applied here.                                                                                                                                                                                                                                                                                     1)  The accounting identity (Assets = Liabilities + Equity) is used to find the values in the top two sections of the table.                                                                                                                                                                                                                            2) As not-for-profit organizations, all income must flow to equity. This concept was applied to the bottom section of the table.</t>
  </si>
  <si>
    <t>Assets = Liabilities + Equity</t>
  </si>
  <si>
    <t>Liabilities = Assets - Equity</t>
  </si>
  <si>
    <t>Equity = Assets - Liabilities</t>
  </si>
  <si>
    <t>Answers</t>
  </si>
  <si>
    <t>Support Department</t>
  </si>
  <si>
    <t>Routine Care</t>
  </si>
  <si>
    <t>Intensive Care</t>
  </si>
  <si>
    <t>Diagnostic Services</t>
  </si>
  <si>
    <t>Total</t>
  </si>
  <si>
    <t>Financial Services</t>
  </si>
  <si>
    <t>Answer</t>
  </si>
  <si>
    <t>MPA Healthcare</t>
  </si>
  <si>
    <t>Current Assets</t>
  </si>
  <si>
    <t>Net Accounts Receivables</t>
  </si>
  <si>
    <t>Total Current Assets</t>
  </si>
  <si>
    <t>Property and equipments</t>
  </si>
  <si>
    <t>(Less)Accumlated Depreciation</t>
  </si>
  <si>
    <t>Total Assets</t>
  </si>
  <si>
    <t>Liabilities</t>
  </si>
  <si>
    <t>Long Term term debt</t>
  </si>
  <si>
    <t>Shareholders Equity</t>
  </si>
  <si>
    <t>Total liabilities /Total Assets</t>
  </si>
  <si>
    <t>Current Asset-Current liabities</t>
  </si>
  <si>
    <t>Revenues after 23.5% discount on 30% patients</t>
  </si>
  <si>
    <t>Considering our initial assumption of 10,000 visits, the break even point in discounted case occurs at 8,258 visits. Hence the clinic will still be making profit and should accept the discount.</t>
  </si>
  <si>
    <t>The actual budget is less by $1,788.54 compared to the adopted budget.</t>
  </si>
  <si>
    <t>The actual budget is less by $581.27 compared to the adopted budget.</t>
  </si>
  <si>
    <t>The actual budget is less by $2,369.81 compared to the adopted budget.</t>
  </si>
  <si>
    <t>The actual budget exceeds by $3,304.91 compared to the adopted budget. This shall prove harmful to the business</t>
  </si>
  <si>
    <t>There was no adopted budjet in this category. Hence a note should be made to include it for the next financial term.</t>
  </si>
  <si>
    <t>The actual budget exceeds by $481.77 compared to the adopted budget. This is majorly due to ignored "Equipment" budget.</t>
  </si>
  <si>
    <t>There is an overall decrease in the expenditure by 0.06%</t>
  </si>
  <si>
    <t>Net Property and Equipment</t>
  </si>
  <si>
    <t>Total Current Liabities</t>
  </si>
  <si>
    <t>Answer 4</t>
  </si>
  <si>
    <t>Answer 1</t>
  </si>
  <si>
    <t>Answer 3</t>
  </si>
  <si>
    <t xml:space="preserve">Net Working Capital </t>
  </si>
  <si>
    <t>Answer 2</t>
  </si>
  <si>
    <t>Computer System</t>
  </si>
  <si>
    <t>Depriciation</t>
  </si>
  <si>
    <t>Cost of Computer System</t>
  </si>
  <si>
    <t>Salvage Value</t>
  </si>
  <si>
    <t>Depriciable Amount</t>
  </si>
  <si>
    <t>Useful Life (years)</t>
  </si>
  <si>
    <t>Depriciable Expense per year</t>
  </si>
  <si>
    <t>Profit Universal Health Service</t>
  </si>
  <si>
    <t>Interest Rate</t>
  </si>
  <si>
    <t>Personal tax bracket</t>
  </si>
  <si>
    <t>Interest received without tax</t>
  </si>
  <si>
    <t>Taxable amount on Interest</t>
  </si>
  <si>
    <t>Interest received net of tax</t>
  </si>
  <si>
    <t>Not for Profit Regional Health System</t>
  </si>
  <si>
    <t>Personal Tax Bracket</t>
  </si>
  <si>
    <t>Total amount of Investment</t>
  </si>
  <si>
    <t>Tax Free Interest Earned</t>
  </si>
  <si>
    <t xml:space="preserve"> PART A + B</t>
  </si>
  <si>
    <t>After tax amount in FRH Bonds</t>
  </si>
  <si>
    <t>General Admission</t>
  </si>
  <si>
    <t>Fascilities</t>
  </si>
  <si>
    <t>Cost Pool</t>
  </si>
  <si>
    <t>Cost driver</t>
  </si>
  <si>
    <t>Total Utilization</t>
  </si>
  <si>
    <t>Allocation Rate</t>
  </si>
  <si>
    <t>Patient Service revenue</t>
  </si>
  <si>
    <t>Space Utilization</t>
  </si>
  <si>
    <t>Allocation Table</t>
  </si>
  <si>
    <t xml:space="preserve">Patient Services Department </t>
  </si>
  <si>
    <t>Other Services</t>
  </si>
  <si>
    <t>Total Indirect Costs</t>
  </si>
  <si>
    <t>a) Allocation Rates</t>
  </si>
  <si>
    <t>b) Allocation Table</t>
  </si>
  <si>
    <t xml:space="preserve">Net profit margin </t>
  </si>
  <si>
    <t>(Net income / Revenue)</t>
  </si>
  <si>
    <t>Asset turnover</t>
  </si>
  <si>
    <t>Equity multiplier</t>
  </si>
  <si>
    <t>(Average total assets / Average shareholders’ equity)</t>
  </si>
  <si>
    <t>(Service Revenue / Average total assets)</t>
  </si>
  <si>
    <t>DuPont Analysis</t>
  </si>
  <si>
    <t>The actual budget is less by $17,885.38 compared to the adopted budget.</t>
  </si>
  <si>
    <t>The actual budget is less by $5812.75 compared to the adopted budget.</t>
  </si>
  <si>
    <t>The actual budget is less by $23,698.12 compared to the adopted budget.</t>
  </si>
  <si>
    <t>The actual budget exceeds by $181.77 compared to the adopted budget. This shall prove harmful to the business</t>
  </si>
  <si>
    <t xml:space="preserve">Problem #10  </t>
  </si>
  <si>
    <t xml:space="preserve">Problem #9 </t>
  </si>
  <si>
    <t xml:space="preserve">Problem #8 </t>
  </si>
  <si>
    <t>Problem #7</t>
  </si>
  <si>
    <t xml:space="preserve">Problem 6 </t>
  </si>
  <si>
    <t>Problem #5</t>
  </si>
  <si>
    <t xml:space="preserve">Problem #4 </t>
  </si>
  <si>
    <t>Problem #3</t>
  </si>
  <si>
    <t xml:space="preserve">Problem 2 </t>
  </si>
  <si>
    <t xml:space="preserve">Problem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</si>
</sst>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7" formatCode="&quot;$&quot;#,##0.00_);\(&quot;$&quot;#,##0.00\)"/>
    <numFmt numFmtId="44" formatCode="_(&quot;$&quot;* #,##0.00_);_(&quot;$&quot;* \(#,##0.00\);_(&quot;$&quot;* &quot;-&quot;??_);_(@_)"/>
    <numFmt numFmtId="43" formatCode="_(* #,##0.00_);_(* \(#,##0.00\);_(* &quot;-&quot;??_);_(@_)"/>
    <numFmt numFmtId="164" formatCode="&quot;$&quot;#,##0;[Red]\-&quot;$&quot;#,##0"/>
    <numFmt numFmtId="165" formatCode="&quot;$&quot;#,##0.00;[Red]\-&quot;$&quot;#,##0.00"/>
    <numFmt numFmtId="166" formatCode="_-&quot;$&quot;* #,##0.00_-;\-&quot;$&quot;* #,##0.00_-;_-&quot;$&quot;* &quot;-&quot;??_-;_-@_-"/>
    <numFmt numFmtId="167" formatCode="_-* #,##0.00_-;\-* #,##0.00_-;_-* &quot;-&quot;??_-;_-@_-"/>
    <numFmt numFmtId="168" formatCode="&quot;$&quot;#,##0.00"/>
    <numFmt numFmtId="169" formatCode="&quot;$&quot;#,##0"/>
    <numFmt numFmtId="170" formatCode="&quot;$&quot;#,##0;[Red]&quot;$&quot;#,##0"/>
    <numFmt numFmtId="171" formatCode="[$-F800]dddd\,\ mmmm\ dd\,\ yyyy"/>
    <numFmt numFmtId="172" formatCode="_-* #,##0_-;\-* #,##0_-;_-* &quot;-&quot;??_-;_-@_-"/>
  </numFmts>
  <fonts count="8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name val="Arial"/>
      <family val="2"/>
    </font>
    <font>
      <b/>
      <sz val="11"/>
      <color theme="3"/>
      <name val="Calibri"/>
      <family val="2"/>
      <scheme val="minor"/>
    </font>
    <font>
      <u/>
      <sz val="11"/>
      <color theme="10"/>
      <name val="Calibri"/>
      <family val="2"/>
    </font>
    <font>
      <b/>
      <sz val="18"/>
      <color theme="3"/>
      <name val="Cambria"/>
      <family val="2"/>
      <scheme val="major"/>
    </font>
    <font>
      <b/>
      <sz val="11"/>
      <color theme="1"/>
      <name val="Calibri"/>
      <family val="2"/>
      <scheme val="minor"/>
    </font>
    <font>
      <b/>
      <sz val="18"/>
      <color theme="3"/>
      <name val="Calibri"/>
      <family val="2"/>
      <scheme val="minor"/>
    </font>
    <font>
      <sz val="11"/>
      <color theme="1"/>
      <name val="Calibri"/>
      <family val="2"/>
      <scheme val="minor"/>
    </font>
    <font>
      <b/>
      <sz val="15"/>
      <color theme="3"/>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theme="1"/>
      <name val="Calibri"/>
      <family val="2"/>
      <scheme val="minor"/>
    </font>
    <font>
      <b/>
      <sz val="12"/>
      <color theme="3"/>
      <name val="Calibri"/>
      <family val="2"/>
      <scheme val="minor"/>
    </font>
    <font>
      <sz val="10"/>
      <color theme="1"/>
      <name val="Calibri"/>
      <family val="2"/>
      <scheme val="minor"/>
    </font>
    <font>
      <b/>
      <sz val="12"/>
      <color theme="1"/>
      <name val="Calibri"/>
      <family val="2"/>
      <scheme val="minor"/>
    </font>
    <font>
      <i/>
      <sz val="11"/>
      <color theme="1"/>
      <name val="Calibri"/>
      <family val="2"/>
      <scheme val="minor"/>
    </font>
    <font>
      <u/>
      <sz val="11"/>
      <color theme="11"/>
      <name val="Calibri"/>
      <family val="2"/>
      <scheme val="minor"/>
    </font>
    <font>
      <sz val="12"/>
      <color rgb="FF40404C"/>
      <name val="Calibri"/>
      <family val="2"/>
      <scheme val="minor"/>
    </font>
    <font>
      <sz val="16"/>
      <color theme="1"/>
      <name val="Calibri"/>
      <family val="2"/>
      <scheme val="minor"/>
    </font>
    <font>
      <b/>
      <sz val="16"/>
      <color theme="3"/>
      <name val="Calibri"/>
      <family val="2"/>
      <scheme val="minor"/>
    </font>
    <font>
      <sz val="11"/>
      <color rgb="FF000000"/>
      <name val="Calibri"/>
      <family val="2"/>
      <scheme val="minor"/>
    </font>
    <font>
      <b/>
      <u/>
      <sz val="11"/>
      <color theme="1"/>
      <name val="Calibri"/>
      <family val="2"/>
      <scheme val="minor"/>
    </font>
    <font>
      <b/>
      <sz val="20"/>
      <color theme="1"/>
      <name val="Calibri"/>
      <family val="2"/>
      <scheme val="minor"/>
    </font>
    <font>
      <b/>
      <sz val="12"/>
      <color rgb="FF1F497D"/>
      <name val="Calibri"/>
      <family val="2"/>
      <scheme val="minor"/>
    </font>
    <font>
      <sz val="12"/>
      <name val="Arial"/>
      <family val="2"/>
    </font>
    <font>
      <b/>
      <u/>
      <sz val="11"/>
      <color theme="1"/>
      <name val="Calibri"/>
      <family val="2"/>
      <scheme val="minor"/>
    </font>
    <font>
      <sz val="16"/>
      <color rgb="FFFF0000"/>
      <name val="Calibri"/>
      <family val="2"/>
      <scheme val="minor"/>
    </font>
    <font>
      <b/>
      <sz val="16"/>
      <color theme="1"/>
      <name val="Calibri"/>
      <family val="2"/>
      <scheme val="minor"/>
    </font>
    <font>
      <sz val="14"/>
      <name val="Arial"/>
      <family val="2"/>
    </font>
    <font>
      <b/>
      <sz val="20"/>
      <name val="Arial"/>
      <family val="2"/>
    </font>
    <font>
      <sz val="12"/>
      <name val="Times New Roman"/>
      <family val="1"/>
    </font>
    <font>
      <b/>
      <sz val="12"/>
      <name val="Times New Roman"/>
      <family val="1"/>
    </font>
    <font>
      <b/>
      <sz val="12"/>
      <color rgb="FF000000"/>
      <name val="Times New Roman"/>
      <family val="1"/>
    </font>
    <font>
      <u/>
      <sz val="11"/>
      <color theme="10"/>
      <name val="Calibri"/>
      <family val="2"/>
      <scheme val="minor"/>
    </font>
    <font>
      <b/>
      <sz val="24"/>
      <color theme="3"/>
      <name val="Cambria"/>
      <family val="2"/>
      <scheme val="major"/>
    </font>
    <font>
      <sz val="24"/>
      <color theme="1"/>
      <name val="Calibri"/>
      <family val="2"/>
      <scheme val="minor"/>
    </font>
    <font>
      <sz val="14"/>
      <color theme="1"/>
      <name val="Calibri"/>
      <family val="2"/>
      <scheme val="minor"/>
    </font>
    <font>
      <b/>
      <sz val="14"/>
      <color theme="3"/>
      <name val="Calibri"/>
      <family val="2"/>
      <scheme val="minor"/>
    </font>
    <font>
      <b/>
      <sz val="14"/>
      <color theme="1"/>
      <name val="Calibri"/>
      <family val="2"/>
      <scheme val="minor"/>
    </font>
    <font>
      <sz val="14"/>
      <name val="Calibri"/>
      <family val="2"/>
      <scheme val="minor"/>
    </font>
    <font>
      <b/>
      <sz val="14"/>
      <name val="Calibri"/>
      <family val="2"/>
      <scheme val="minor"/>
    </font>
    <font>
      <b/>
      <sz val="10"/>
      <color indexed="56"/>
      <name val="Calibri"/>
      <family val="2"/>
    </font>
    <font>
      <sz val="10"/>
      <color indexed="8"/>
      <name val="Calibri"/>
      <family val="2"/>
    </font>
    <font>
      <b/>
      <sz val="10"/>
      <color theme="3"/>
      <name val="Cambria"/>
      <family val="2"/>
      <scheme val="major"/>
    </font>
    <font>
      <b/>
      <sz val="10"/>
      <color theme="3"/>
      <name val="Calibri"/>
      <family val="2"/>
      <scheme val="minor"/>
    </font>
    <font>
      <b/>
      <sz val="10"/>
      <color theme="1"/>
      <name val="Calibri"/>
      <family val="2"/>
      <scheme val="minor"/>
    </font>
    <font>
      <sz val="10"/>
      <color rgb="FFFF0000"/>
      <name val="Calibri"/>
      <family val="2"/>
      <scheme val="minor"/>
    </font>
    <font>
      <b/>
      <sz val="18"/>
      <color rgb="FF000000"/>
      <name val="Univers"/>
      <family val="2"/>
    </font>
    <font>
      <sz val="12"/>
      <color rgb="FFFF0000"/>
      <name val="Calibri (Body)_x0000_"/>
    </font>
    <font>
      <b/>
      <u/>
      <sz val="12"/>
      <color theme="1"/>
      <name val="Calibri"/>
      <family val="2"/>
      <scheme val="minor"/>
    </font>
    <font>
      <b/>
      <sz val="20"/>
      <name val="Times New Roman"/>
      <family val="1"/>
    </font>
    <font>
      <sz val="20"/>
      <name val="Times New Roman"/>
      <family val="1"/>
    </font>
    <font>
      <sz val="12"/>
      <color theme="1"/>
      <name val="Times New Roman"/>
      <family val="1"/>
    </font>
    <font>
      <b/>
      <sz val="12"/>
      <color theme="1"/>
      <name val="Times New Roman"/>
      <family val="1"/>
    </font>
    <font>
      <b/>
      <u/>
      <sz val="12"/>
      <color theme="1"/>
      <name val="Times New Roman"/>
      <family val="1"/>
    </font>
    <font>
      <b/>
      <i/>
      <u/>
      <sz val="12"/>
      <color theme="1"/>
      <name val="Times New Roman"/>
      <family val="1"/>
    </font>
    <font>
      <b/>
      <sz val="10"/>
      <name val="Arial"/>
      <family val="2"/>
    </font>
    <font>
      <b/>
      <sz val="12"/>
      <color theme="8" tint="-0.499984740745262"/>
      <name val="Calibri"/>
      <family val="2"/>
      <scheme val="minor"/>
    </font>
    <font>
      <sz val="12"/>
      <color theme="1"/>
      <name val="Arial"/>
      <family val="2"/>
    </font>
    <font>
      <sz val="11"/>
      <color rgb="FF333333"/>
      <name val="Arial"/>
      <family val="2"/>
    </font>
    <font>
      <sz val="10"/>
      <color theme="1"/>
      <name val="Arial"/>
      <family val="2"/>
    </font>
    <font>
      <sz val="18"/>
      <color rgb="FF111111"/>
      <name val="Arial"/>
      <family val="2"/>
    </font>
  </fonts>
  <fills count="37">
    <fill>
      <patternFill patternType="none"/>
    </fill>
    <fill>
      <patternFill patternType="gray125"/>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3" tint="0.79998168889431442"/>
        <bgColor indexed="64"/>
      </patternFill>
    </fill>
    <fill>
      <patternFill patternType="solid">
        <fgColor rgb="FFFFFFFF"/>
        <bgColor rgb="FF000000"/>
      </patternFill>
    </fill>
    <fill>
      <patternFill patternType="solid">
        <fgColor rgb="FFFFFF00"/>
        <bgColor rgb="FF000000"/>
      </patternFill>
    </fill>
    <fill>
      <patternFill patternType="solid">
        <fgColor theme="0" tint="-0.14999847407452621"/>
        <bgColor indexed="64"/>
      </patternFill>
    </fill>
    <fill>
      <patternFill patternType="solid">
        <fgColor theme="0" tint="-0.14999847407452621"/>
        <bgColor rgb="FF000000"/>
      </patternFill>
    </fill>
    <fill>
      <patternFill patternType="solid">
        <fgColor theme="6" tint="0.79998168889431442"/>
        <bgColor indexed="65"/>
      </patternFill>
    </fill>
    <fill>
      <patternFill patternType="solid">
        <fgColor theme="5" tint="0.79998168889431442"/>
        <bgColor indexed="64"/>
      </patternFill>
    </fill>
    <fill>
      <patternFill patternType="solid">
        <fgColor indexed="43"/>
        <bgColor indexed="64"/>
      </patternFill>
    </fill>
    <fill>
      <patternFill patternType="solid">
        <fgColor theme="5" tint="0.59999389629810485"/>
        <bgColor indexed="64"/>
      </patternFill>
    </fill>
    <fill>
      <patternFill patternType="solid">
        <fgColor rgb="FFF2DCDB"/>
        <bgColor indexed="64"/>
      </patternFill>
    </fill>
    <fill>
      <patternFill patternType="solid">
        <fgColor theme="4" tint="0.59999389629810485"/>
        <bgColor indexed="64"/>
      </patternFill>
    </fill>
    <fill>
      <patternFill patternType="solid">
        <fgColor theme="0"/>
        <bgColor indexed="64"/>
      </patternFill>
    </fill>
  </fills>
  <borders count="88">
    <border>
      <left/>
      <right/>
      <top/>
      <bottom/>
      <diagonal/>
    </border>
    <border>
      <left/>
      <right/>
      <top/>
      <bottom style="thin">
        <color auto="1"/>
      </bottom>
      <diagonal/>
    </border>
    <border>
      <left/>
      <right/>
      <top/>
      <bottom style="double">
        <color auto="1"/>
      </bottom>
      <diagonal/>
    </border>
    <border>
      <left/>
      <right/>
      <top/>
      <bottom style="thick">
        <color theme="4"/>
      </bottom>
      <diagonal/>
    </border>
    <border>
      <left style="thin">
        <color auto="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double">
        <color auto="1"/>
      </bottom>
      <diagonal/>
    </border>
    <border>
      <left/>
      <right/>
      <top style="thin">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ck">
        <color auto="1"/>
      </left>
      <right style="thick">
        <color auto="1"/>
      </right>
      <top style="thick">
        <color auto="1"/>
      </top>
      <bottom style="thick">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auto="1"/>
      </left>
      <right style="thin">
        <color auto="1"/>
      </right>
      <top style="thin">
        <color auto="1"/>
      </top>
      <bottom style="double">
        <color auto="1"/>
      </bottom>
      <diagonal/>
    </border>
    <border>
      <left style="thick">
        <color auto="1"/>
      </left>
      <right style="thick">
        <color auto="1"/>
      </right>
      <top style="thick">
        <color auto="1"/>
      </top>
      <bottom/>
      <diagonal/>
    </border>
    <border>
      <left style="thick">
        <color auto="1"/>
      </left>
      <right/>
      <top style="thick">
        <color auto="1"/>
      </top>
      <bottom style="thick">
        <color auto="1"/>
      </bottom>
      <diagonal/>
    </border>
    <border>
      <left/>
      <right/>
      <top/>
      <bottom style="medium">
        <color auto="1"/>
      </bottom>
      <diagonal/>
    </border>
    <border>
      <left/>
      <right/>
      <top style="medium">
        <color auto="1"/>
      </top>
      <bottom style="double">
        <color auto="1"/>
      </bottom>
      <diagonal/>
    </border>
    <border>
      <left/>
      <right/>
      <top style="medium">
        <color auto="1"/>
      </top>
      <bottom style="medium">
        <color auto="1"/>
      </bottom>
      <diagonal/>
    </border>
    <border>
      <left style="thick">
        <color auto="1"/>
      </left>
      <right/>
      <top/>
      <bottom style="double">
        <color auto="1"/>
      </bottom>
      <diagonal/>
    </border>
    <border>
      <left style="thin">
        <color indexed="64"/>
      </left>
      <right style="thin">
        <color indexed="64"/>
      </right>
      <top style="thin">
        <color indexed="64"/>
      </top>
      <bottom style="thin">
        <color indexed="64"/>
      </bottom>
      <diagonal/>
    </border>
    <border>
      <left style="medium">
        <color rgb="FF00CC99"/>
      </left>
      <right/>
      <top style="medium">
        <color rgb="FF00CC99"/>
      </top>
      <bottom/>
      <diagonal/>
    </border>
    <border>
      <left/>
      <right/>
      <top style="medium">
        <color rgb="FF00CC99"/>
      </top>
      <bottom/>
      <diagonal/>
    </border>
    <border>
      <left/>
      <right style="medium">
        <color rgb="FF00CC99"/>
      </right>
      <top style="medium">
        <color rgb="FF00CC99"/>
      </top>
      <bottom/>
      <diagonal/>
    </border>
    <border>
      <left style="medium">
        <color rgb="FF00CC99"/>
      </left>
      <right/>
      <top/>
      <bottom/>
      <diagonal/>
    </border>
    <border>
      <left/>
      <right style="medium">
        <color rgb="FF00CC99"/>
      </right>
      <top/>
      <bottom/>
      <diagonal/>
    </border>
    <border>
      <left style="medium">
        <color rgb="FF00CC99"/>
      </left>
      <right/>
      <top/>
      <bottom style="medium">
        <color rgb="FF00CC99"/>
      </bottom>
      <diagonal/>
    </border>
    <border>
      <left/>
      <right/>
      <top/>
      <bottom style="medium">
        <color rgb="FF00CC99"/>
      </bottom>
      <diagonal/>
    </border>
    <border>
      <left/>
      <right style="medium">
        <color rgb="FF00CC99"/>
      </right>
      <top/>
      <bottom style="medium">
        <color rgb="FF00CC99"/>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auto="1"/>
      </left>
      <right style="thin">
        <color auto="1"/>
      </right>
      <top style="thin">
        <color indexed="64"/>
      </top>
      <bottom style="double">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s>
  <cellStyleXfs count="200">
    <xf numFmtId="0" fontId="0" fillId="0" borderId="0"/>
    <xf numFmtId="0" fontId="10" fillId="0" borderId="0" applyNumberFormat="0" applyFill="0" applyBorder="0" applyAlignment="0" applyProtection="0"/>
    <xf numFmtId="0" fontId="9" fillId="0" borderId="0"/>
    <xf numFmtId="0" fontId="12" fillId="0" borderId="0" applyNumberFormat="0" applyFill="0" applyBorder="0" applyAlignment="0" applyProtection="0"/>
    <xf numFmtId="0" fontId="16" fillId="0" borderId="3" applyNumberFormat="0" applyFill="0" applyAlignment="0" applyProtection="0"/>
    <xf numFmtId="0" fontId="17" fillId="3"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8" fillId="13"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20" borderId="0" applyNumberFormat="0" applyBorder="0" applyAlignment="0" applyProtection="0"/>
    <xf numFmtId="0" fontId="19" fillId="4" borderId="0" applyNumberFormat="0" applyBorder="0" applyAlignment="0" applyProtection="0"/>
    <xf numFmtId="0" fontId="20" fillId="21" borderId="5" applyNumberFormat="0" applyAlignment="0" applyProtection="0"/>
    <xf numFmtId="0" fontId="21" fillId="22" borderId="6" applyNumberFormat="0" applyAlignment="0" applyProtection="0"/>
    <xf numFmtId="43" fontId="9" fillId="0" borderId="0" applyFont="0" applyFill="0" applyBorder="0" applyAlignment="0" applyProtection="0"/>
    <xf numFmtId="44" fontId="17" fillId="0" borderId="0" applyFont="0" applyFill="0" applyBorder="0" applyAlignment="0" applyProtection="0"/>
    <xf numFmtId="44" fontId="9" fillId="0" borderId="0" applyFont="0" applyFill="0" applyBorder="0" applyAlignment="0" applyProtection="0"/>
    <xf numFmtId="44" fontId="17" fillId="0" borderId="0" applyFont="0" applyFill="0" applyBorder="0" applyAlignment="0" applyProtection="0"/>
    <xf numFmtId="0" fontId="22" fillId="0" borderId="0" applyNumberFormat="0" applyFill="0" applyBorder="0" applyAlignment="0" applyProtection="0"/>
    <xf numFmtId="0" fontId="23" fillId="5" borderId="0" applyNumberFormat="0" applyBorder="0" applyAlignment="0" applyProtection="0"/>
    <xf numFmtId="0" fontId="23" fillId="5" borderId="0" applyNumberFormat="0" applyBorder="0" applyAlignment="0" applyProtection="0"/>
    <xf numFmtId="0" fontId="24" fillId="0" borderId="7" applyNumberFormat="0" applyFill="0" applyAlignment="0" applyProtection="0"/>
    <xf numFmtId="0" fontId="25" fillId="0" borderId="8"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alignment vertical="top"/>
      <protection locked="0"/>
    </xf>
    <xf numFmtId="0" fontId="27" fillId="8" borderId="5" applyNumberFormat="0" applyAlignment="0" applyProtection="0"/>
    <xf numFmtId="0" fontId="28" fillId="0" borderId="10" applyNumberFormat="0" applyFill="0" applyAlignment="0" applyProtection="0"/>
    <xf numFmtId="0" fontId="29" fillId="23" borderId="0" applyNumberFormat="0" applyBorder="0" applyAlignment="0" applyProtection="0"/>
    <xf numFmtId="0" fontId="9" fillId="0" borderId="0"/>
    <xf numFmtId="0" fontId="15" fillId="0" borderId="0"/>
    <xf numFmtId="0" fontId="9" fillId="24" borderId="11" applyNumberFormat="0" applyFont="0" applyAlignment="0" applyProtection="0"/>
    <xf numFmtId="0" fontId="30" fillId="21" borderId="12" applyNumberFormat="0" applyAlignment="0" applyProtection="0"/>
    <xf numFmtId="9" fontId="17" fillId="0" borderId="0" applyFont="0" applyFill="0" applyBorder="0" applyAlignment="0" applyProtection="0"/>
    <xf numFmtId="9" fontId="17" fillId="0" borderId="0" applyFon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12" fillId="0" borderId="0" applyNumberFormat="0" applyFill="0" applyBorder="0" applyAlignment="0" applyProtection="0"/>
    <xf numFmtId="0" fontId="32" fillId="0" borderId="13" applyNumberFormat="0" applyFill="0" applyAlignment="0" applyProtection="0"/>
    <xf numFmtId="0" fontId="32" fillId="0" borderId="13" applyNumberFormat="0" applyFill="0" applyAlignment="0" applyProtection="0"/>
    <xf numFmtId="0" fontId="33" fillId="0" borderId="0" applyNumberFormat="0" applyFill="0" applyBorder="0" applyAlignment="0" applyProtection="0"/>
    <xf numFmtId="9" fontId="15" fillId="0" borderId="0" applyFon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7" fillId="0" borderId="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44" fontId="15" fillId="0" borderId="0" applyFont="0" applyFill="0" applyBorder="0" applyAlignment="0" applyProtection="0"/>
    <xf numFmtId="167" fontId="15" fillId="0" borderId="0" applyFont="0" applyFill="0" applyBorder="0" applyAlignment="0" applyProtection="0"/>
    <xf numFmtId="0" fontId="15" fillId="30" borderId="0" applyNumberFormat="0" applyBorder="0" applyAlignment="0" applyProtection="0"/>
    <xf numFmtId="43" fontId="17" fillId="0" borderId="0" applyFont="0" applyFill="0" applyBorder="0" applyAlignment="0" applyProtection="0"/>
    <xf numFmtId="0" fontId="17" fillId="0" borderId="0"/>
    <xf numFmtId="9" fontId="9" fillId="0" borderId="0" applyFon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39" fillId="0" borderId="0" applyNumberFormat="0" applyFill="0" applyBorder="0" applyAlignment="0" applyProtection="0"/>
  </cellStyleXfs>
  <cellXfs count="319">
    <xf numFmtId="0" fontId="0" fillId="0" borderId="0" xfId="0"/>
    <xf numFmtId="3" fontId="0" fillId="0" borderId="0" xfId="0" applyNumberFormat="1" applyAlignment="1">
      <alignment horizontal="center"/>
    </xf>
    <xf numFmtId="10" fontId="0" fillId="0" borderId="0" xfId="0" applyNumberFormat="1"/>
    <xf numFmtId="0" fontId="10" fillId="0" borderId="0" xfId="1"/>
    <xf numFmtId="0" fontId="12" fillId="0" borderId="0" xfId="3"/>
    <xf numFmtId="0" fontId="13" fillId="0" borderId="0" xfId="0" applyFont="1"/>
    <xf numFmtId="169" fontId="0" fillId="0" borderId="0" xfId="0" applyNumberFormat="1" applyAlignment="1">
      <alignment horizontal="center"/>
    </xf>
    <xf numFmtId="0" fontId="34" fillId="0" borderId="0" xfId="0" applyFont="1"/>
    <xf numFmtId="0" fontId="35" fillId="0" borderId="0" xfId="1" applyFont="1"/>
    <xf numFmtId="170" fontId="0" fillId="0" borderId="0" xfId="0" applyNumberFormat="1"/>
    <xf numFmtId="164" fontId="0" fillId="0" borderId="0" xfId="0" applyNumberFormat="1"/>
    <xf numFmtId="0" fontId="8" fillId="0" borderId="0" xfId="0" applyFont="1"/>
    <xf numFmtId="0" fontId="37" fillId="0" borderId="0" xfId="0" applyFont="1"/>
    <xf numFmtId="0" fontId="41" fillId="0" borderId="0" xfId="0" applyFont="1"/>
    <xf numFmtId="0" fontId="42" fillId="0" borderId="0" xfId="1" applyFont="1"/>
    <xf numFmtId="6" fontId="41" fillId="0" borderId="0" xfId="0" applyNumberFormat="1" applyFont="1"/>
    <xf numFmtId="0" fontId="43" fillId="0" borderId="0" xfId="0" applyFont="1" applyAlignment="1">
      <alignment horizontal="center"/>
    </xf>
    <xf numFmtId="0" fontId="43" fillId="0" borderId="0" xfId="0" applyFont="1"/>
    <xf numFmtId="3" fontId="44" fillId="0" borderId="0" xfId="0" applyNumberFormat="1" applyFont="1" applyAlignment="1">
      <alignment horizontal="center"/>
    </xf>
    <xf numFmtId="10" fontId="44" fillId="0" borderId="0" xfId="0" applyNumberFormat="1" applyFont="1" applyAlignment="1">
      <alignment horizontal="center"/>
    </xf>
    <xf numFmtId="0" fontId="6" fillId="0" borderId="0" xfId="0" applyFont="1"/>
    <xf numFmtId="164" fontId="6" fillId="0" borderId="0" xfId="0" applyNumberFormat="1" applyFont="1"/>
    <xf numFmtId="169" fontId="6" fillId="0" borderId="1" xfId="0" applyNumberFormat="1" applyFont="1" applyBorder="1"/>
    <xf numFmtId="3" fontId="10" fillId="0" borderId="0" xfId="1" applyNumberFormat="1"/>
    <xf numFmtId="164" fontId="10" fillId="0" borderId="0" xfId="1" applyNumberFormat="1"/>
    <xf numFmtId="0" fontId="45" fillId="0" borderId="0" xfId="0" applyFont="1"/>
    <xf numFmtId="0" fontId="14" fillId="0" borderId="3" xfId="4" applyFont="1"/>
    <xf numFmtId="0" fontId="15" fillId="0" borderId="1" xfId="0" applyFont="1" applyBorder="1"/>
    <xf numFmtId="44" fontId="6" fillId="0" borderId="1" xfId="138" applyFont="1" applyBorder="1"/>
    <xf numFmtId="44" fontId="6" fillId="2" borderId="0" xfId="138" applyFont="1" applyFill="1"/>
    <xf numFmtId="44" fontId="6" fillId="2" borderId="1" xfId="138" applyFont="1" applyFill="1" applyBorder="1"/>
    <xf numFmtId="44" fontId="6" fillId="2" borderId="15" xfId="138" applyFont="1" applyFill="1" applyBorder="1"/>
    <xf numFmtId="44" fontId="6" fillId="0" borderId="0" xfId="138" applyFont="1"/>
    <xf numFmtId="44" fontId="6" fillId="2" borderId="14" xfId="138" applyFont="1" applyFill="1" applyBorder="1"/>
    <xf numFmtId="44" fontId="6" fillId="0" borderId="14" xfId="138" applyFont="1" applyBorder="1"/>
    <xf numFmtId="44" fontId="6" fillId="0" borderId="0" xfId="0" applyNumberFormat="1" applyFont="1"/>
    <xf numFmtId="44" fontId="6" fillId="2" borderId="2" xfId="138" applyFont="1" applyFill="1" applyBorder="1"/>
    <xf numFmtId="0" fontId="6" fillId="2" borderId="18" xfId="0" applyFont="1" applyFill="1" applyBorder="1"/>
    <xf numFmtId="44" fontId="6" fillId="0" borderId="19" xfId="0" applyNumberFormat="1" applyFont="1" applyBorder="1"/>
    <xf numFmtId="2" fontId="6" fillId="0" borderId="19" xfId="0" applyNumberFormat="1" applyFont="1" applyBorder="1"/>
    <xf numFmtId="10" fontId="6" fillId="0" borderId="19" xfId="74" applyNumberFormat="1" applyFont="1" applyBorder="1"/>
    <xf numFmtId="44" fontId="6" fillId="0" borderId="20" xfId="138" applyFont="1" applyBorder="1"/>
    <xf numFmtId="2" fontId="6" fillId="0" borderId="20" xfId="0" applyNumberFormat="1" applyFont="1" applyBorder="1"/>
    <xf numFmtId="10" fontId="6" fillId="0" borderId="20" xfId="74" applyNumberFormat="1" applyFont="1" applyBorder="1"/>
    <xf numFmtId="10" fontId="0" fillId="0" borderId="17" xfId="0" applyNumberFormat="1" applyBorder="1" applyAlignment="1">
      <alignment wrapText="1"/>
    </xf>
    <xf numFmtId="10" fontId="48" fillId="0" borderId="0" xfId="0" applyNumberFormat="1" applyFont="1" applyAlignment="1">
      <alignment horizontal="center"/>
    </xf>
    <xf numFmtId="10" fontId="0" fillId="0" borderId="22" xfId="0" applyNumberFormat="1" applyBorder="1" applyAlignment="1">
      <alignment horizontal="right"/>
    </xf>
    <xf numFmtId="44" fontId="41" fillId="0" borderId="17" xfId="138" applyFont="1" applyBorder="1"/>
    <xf numFmtId="44" fontId="41" fillId="2" borderId="17" xfId="138" applyFont="1" applyFill="1" applyBorder="1"/>
    <xf numFmtId="44" fontId="49" fillId="2" borderId="17" xfId="138" applyFont="1" applyFill="1" applyBorder="1"/>
    <xf numFmtId="44" fontId="49" fillId="0" borderId="17" xfId="138" applyFont="1" applyBorder="1"/>
    <xf numFmtId="0" fontId="50" fillId="28" borderId="17" xfId="0" applyFont="1" applyFill="1" applyBorder="1" applyAlignment="1">
      <alignment horizontal="center"/>
    </xf>
    <xf numFmtId="0" fontId="50" fillId="28" borderId="17" xfId="0" applyFont="1" applyFill="1" applyBorder="1" applyAlignment="1">
      <alignment horizontal="center" wrapText="1"/>
    </xf>
    <xf numFmtId="0" fontId="0" fillId="0" borderId="17" xfId="0" applyBorder="1"/>
    <xf numFmtId="0" fontId="9" fillId="0" borderId="0" xfId="2"/>
    <xf numFmtId="0" fontId="9" fillId="0" borderId="23" xfId="2" applyBorder="1"/>
    <xf numFmtId="0" fontId="9" fillId="0" borderId="24" xfId="2" applyBorder="1"/>
    <xf numFmtId="0" fontId="9" fillId="0" borderId="25" xfId="2" applyBorder="1"/>
    <xf numFmtId="0" fontId="9" fillId="0" borderId="26" xfId="2" applyBorder="1"/>
    <xf numFmtId="0" fontId="9" fillId="0" borderId="27" xfId="2" applyBorder="1"/>
    <xf numFmtId="0" fontId="51" fillId="0" borderId="26" xfId="2" applyFont="1" applyBorder="1"/>
    <xf numFmtId="0" fontId="51" fillId="0" borderId="0" xfId="2" applyFont="1"/>
    <xf numFmtId="0" fontId="53" fillId="0" borderId="26" xfId="2" applyFont="1" applyBorder="1"/>
    <xf numFmtId="0" fontId="53" fillId="0" borderId="0" xfId="2" applyFont="1"/>
    <xf numFmtId="0" fontId="53" fillId="0" borderId="27" xfId="2" applyFont="1" applyBorder="1"/>
    <xf numFmtId="0" fontId="53" fillId="0" borderId="30" xfId="2" applyFont="1" applyBorder="1"/>
    <xf numFmtId="0" fontId="53" fillId="0" borderId="31" xfId="2" applyFont="1" applyBorder="1"/>
    <xf numFmtId="0" fontId="53" fillId="0" borderId="32" xfId="2" applyFont="1" applyBorder="1"/>
    <xf numFmtId="3" fontId="0" fillId="0" borderId="0" xfId="0" applyNumberFormat="1"/>
    <xf numFmtId="0" fontId="55" fillId="0" borderId="0" xfId="0" applyFont="1" applyAlignment="1">
      <alignment horizontal="justify" vertical="center"/>
    </xf>
    <xf numFmtId="0" fontId="57" fillId="0" borderId="0" xfId="3" applyFont="1"/>
    <xf numFmtId="0" fontId="58" fillId="0" borderId="0" xfId="0" applyFont="1"/>
    <xf numFmtId="0" fontId="5" fillId="0" borderId="0" xfId="0" applyFont="1"/>
    <xf numFmtId="0" fontId="59" fillId="0" borderId="0" xfId="0" applyFont="1"/>
    <xf numFmtId="0" fontId="60" fillId="0" borderId="0" xfId="1" applyFont="1"/>
    <xf numFmtId="0" fontId="61" fillId="0" borderId="0" xfId="0" applyFont="1"/>
    <xf numFmtId="14" fontId="62" fillId="0" borderId="22" xfId="1" applyNumberFormat="1" applyFont="1" applyBorder="1" applyAlignment="1">
      <alignment horizontal="left"/>
    </xf>
    <xf numFmtId="0" fontId="63" fillId="0" borderId="14" xfId="1" applyFont="1" applyBorder="1" applyAlignment="1">
      <alignment horizontal="center"/>
    </xf>
    <xf numFmtId="0" fontId="62" fillId="0" borderId="17" xfId="1" applyFont="1" applyBorder="1" applyAlignment="1">
      <alignment horizontal="left"/>
    </xf>
    <xf numFmtId="44" fontId="62" fillId="0" borderId="17" xfId="138" applyFont="1" applyBorder="1"/>
    <xf numFmtId="44" fontId="62" fillId="2" borderId="17" xfId="138" applyFont="1" applyFill="1" applyBorder="1"/>
    <xf numFmtId="166" fontId="59" fillId="0" borderId="0" xfId="0" applyNumberFormat="1" applyFont="1"/>
    <xf numFmtId="0" fontId="62" fillId="0" borderId="0" xfId="0" applyFont="1" applyAlignment="1">
      <alignment horizontal="left"/>
    </xf>
    <xf numFmtId="44" fontId="62" fillId="0" borderId="0" xfId="138" applyFont="1"/>
    <xf numFmtId="44" fontId="63" fillId="0" borderId="14" xfId="138" applyFont="1" applyBorder="1" applyAlignment="1">
      <alignment horizontal="center"/>
    </xf>
    <xf numFmtId="0" fontId="62" fillId="0" borderId="17" xfId="1" applyFont="1" applyBorder="1"/>
    <xf numFmtId="0" fontId="62" fillId="0" borderId="0" xfId="0" applyFont="1"/>
    <xf numFmtId="0" fontId="62" fillId="0" borderId="14" xfId="1" applyFont="1" applyBorder="1"/>
    <xf numFmtId="44" fontId="63" fillId="0" borderId="17" xfId="138" applyFont="1" applyBorder="1" applyAlignment="1">
      <alignment horizontal="center"/>
    </xf>
    <xf numFmtId="38" fontId="59" fillId="0" borderId="0" xfId="0" applyNumberFormat="1" applyFont="1"/>
    <xf numFmtId="0" fontId="25" fillId="0" borderId="8" xfId="52"/>
    <xf numFmtId="0" fontId="4" fillId="0" borderId="0" xfId="0" applyFont="1"/>
    <xf numFmtId="0" fontId="0" fillId="0" borderId="36" xfId="0" applyBorder="1"/>
    <xf numFmtId="0" fontId="0" fillId="0" borderId="36" xfId="0" applyBorder="1" applyAlignment="1">
      <alignment horizontal="center" wrapText="1"/>
    </xf>
    <xf numFmtId="0" fontId="38" fillId="0" borderId="0" xfId="0" applyFont="1"/>
    <xf numFmtId="3" fontId="0" fillId="0" borderId="36" xfId="0" applyNumberFormat="1" applyBorder="1"/>
    <xf numFmtId="168" fontId="0" fillId="0" borderId="0" xfId="138" applyNumberFormat="1" applyFont="1"/>
    <xf numFmtId="169" fontId="0" fillId="0" borderId="37" xfId="0" applyNumberFormat="1" applyBorder="1"/>
    <xf numFmtId="164" fontId="0" fillId="0" borderId="38" xfId="0" applyNumberFormat="1" applyBorder="1"/>
    <xf numFmtId="0" fontId="0" fillId="0" borderId="1" xfId="0" applyBorder="1" applyAlignment="1">
      <alignment horizontal="center"/>
    </xf>
    <xf numFmtId="0" fontId="3" fillId="0" borderId="0" xfId="0" applyFont="1"/>
    <xf numFmtId="0" fontId="64" fillId="0" borderId="8" xfId="52" applyFont="1"/>
    <xf numFmtId="0" fontId="36" fillId="0" borderId="0" xfId="0" applyFont="1"/>
    <xf numFmtId="0" fontId="66" fillId="0" borderId="0" xfId="3" applyFont="1"/>
    <xf numFmtId="0" fontId="67" fillId="0" borderId="0" xfId="1" applyFont="1"/>
    <xf numFmtId="0" fontId="36" fillId="0" borderId="4" xfId="0" applyFont="1" applyBorder="1"/>
    <xf numFmtId="0" fontId="67" fillId="0" borderId="21" xfId="4" applyFont="1" applyBorder="1" applyAlignment="1">
      <alignment horizontal="center" wrapText="1"/>
    </xf>
    <xf numFmtId="0" fontId="36" fillId="0" borderId="34" xfId="0" applyFont="1" applyBorder="1"/>
    <xf numFmtId="0" fontId="36" fillId="0" borderId="35" xfId="0" applyFont="1" applyBorder="1"/>
    <xf numFmtId="0" fontId="68" fillId="0" borderId="0" xfId="0" applyFont="1"/>
    <xf numFmtId="0" fontId="36" fillId="0" borderId="20" xfId="0" applyFont="1" applyBorder="1"/>
    <xf numFmtId="44" fontId="36" fillId="0" borderId="20" xfId="138" applyFont="1" applyBorder="1"/>
    <xf numFmtId="0" fontId="68" fillId="0" borderId="20" xfId="0" applyFont="1" applyBorder="1" applyAlignment="1">
      <alignment wrapText="1"/>
    </xf>
    <xf numFmtId="0" fontId="68" fillId="0" borderId="20" xfId="0" applyFont="1" applyBorder="1"/>
    <xf numFmtId="168" fontId="66" fillId="0" borderId="0" xfId="3" applyNumberFormat="1" applyFont="1"/>
    <xf numFmtId="0" fontId="36" fillId="0" borderId="0" xfId="3" applyFont="1"/>
    <xf numFmtId="10" fontId="66" fillId="0" borderId="0" xfId="3" applyNumberFormat="1" applyFont="1"/>
    <xf numFmtId="2" fontId="0" fillId="0" borderId="0" xfId="0" applyNumberFormat="1"/>
    <xf numFmtId="166" fontId="41" fillId="0" borderId="0" xfId="0" applyNumberFormat="1" applyFont="1"/>
    <xf numFmtId="3" fontId="0" fillId="0" borderId="0" xfId="0" applyNumberFormat="1" applyAlignment="1">
      <alignment horizontal="left" indent="2"/>
    </xf>
    <xf numFmtId="0" fontId="0" fillId="0" borderId="0" xfId="0" applyAlignment="1">
      <alignment horizontal="left" indent="3"/>
    </xf>
    <xf numFmtId="0" fontId="0" fillId="0" borderId="0" xfId="0" applyAlignment="1">
      <alignment horizontal="right"/>
    </xf>
    <xf numFmtId="172" fontId="0" fillId="0" borderId="0" xfId="139" applyNumberFormat="1" applyFont="1" applyAlignment="1">
      <alignment horizontal="right"/>
    </xf>
    <xf numFmtId="172" fontId="0" fillId="0" borderId="1" xfId="139" applyNumberFormat="1" applyFont="1" applyBorder="1" applyAlignment="1">
      <alignment horizontal="right"/>
    </xf>
    <xf numFmtId="164" fontId="0" fillId="0" borderId="0" xfId="0" applyNumberFormat="1" applyAlignment="1">
      <alignment horizontal="right"/>
    </xf>
    <xf numFmtId="172" fontId="0" fillId="2" borderId="14" xfId="139" applyNumberFormat="1" applyFont="1" applyFill="1" applyBorder="1" applyAlignment="1">
      <alignment horizontal="right"/>
    </xf>
    <xf numFmtId="0" fontId="70" fillId="0" borderId="0" xfId="0" applyFont="1" applyAlignment="1">
      <alignment horizontal="left" vertical="center" readingOrder="1"/>
    </xf>
    <xf numFmtId="7" fontId="36" fillId="0" borderId="34" xfId="0" applyNumberFormat="1" applyFont="1" applyBorder="1"/>
    <xf numFmtId="165" fontId="36" fillId="0" borderId="34" xfId="0" applyNumberFormat="1" applyFont="1" applyBorder="1"/>
    <xf numFmtId="10" fontId="36" fillId="0" borderId="34" xfId="0" applyNumberFormat="1" applyFont="1" applyBorder="1"/>
    <xf numFmtId="10" fontId="36" fillId="0" borderId="34" xfId="74" applyNumberFormat="1" applyFont="1" applyBorder="1" applyAlignment="1">
      <alignment horizontal="center" wrapText="1"/>
    </xf>
    <xf numFmtId="0" fontId="36" fillId="0" borderId="34" xfId="3" applyFont="1" applyBorder="1"/>
    <xf numFmtId="168" fontId="36" fillId="0" borderId="35" xfId="0" applyNumberFormat="1" applyFont="1" applyBorder="1"/>
    <xf numFmtId="7" fontId="36" fillId="0" borderId="0" xfId="0" applyNumberFormat="1" applyFont="1"/>
    <xf numFmtId="165" fontId="36" fillId="0" borderId="0" xfId="0" applyNumberFormat="1" applyFont="1"/>
    <xf numFmtId="10" fontId="36" fillId="0" borderId="0" xfId="0" applyNumberFormat="1" applyFont="1"/>
    <xf numFmtId="165" fontId="36" fillId="0" borderId="20" xfId="0" applyNumberFormat="1" applyFont="1" applyBorder="1"/>
    <xf numFmtId="10" fontId="69" fillId="0" borderId="20" xfId="0" applyNumberFormat="1" applyFont="1" applyBorder="1"/>
    <xf numFmtId="0" fontId="36" fillId="0" borderId="20" xfId="3" applyFont="1" applyBorder="1"/>
    <xf numFmtId="3" fontId="13" fillId="0" borderId="0" xfId="0" applyNumberFormat="1" applyFont="1" applyAlignment="1">
      <alignment horizontal="center"/>
    </xf>
    <xf numFmtId="10" fontId="13" fillId="0" borderId="0" xfId="0" applyNumberFormat="1" applyFont="1"/>
    <xf numFmtId="0" fontId="0" fillId="2" borderId="0" xfId="0" applyFill="1"/>
    <xf numFmtId="0" fontId="73" fillId="2" borderId="28" xfId="2" applyFont="1" applyFill="1" applyBorder="1"/>
    <xf numFmtId="0" fontId="73" fillId="2" borderId="1" xfId="2" applyFont="1" applyFill="1" applyBorder="1"/>
    <xf numFmtId="0" fontId="74" fillId="2" borderId="1" xfId="2" applyFont="1" applyFill="1" applyBorder="1"/>
    <xf numFmtId="0" fontId="53" fillId="2" borderId="1" xfId="2" applyFont="1" applyFill="1" applyBorder="1"/>
    <xf numFmtId="0" fontId="72" fillId="2" borderId="0" xfId="0" applyFont="1" applyFill="1"/>
    <xf numFmtId="0" fontId="72" fillId="2" borderId="0" xfId="0" applyFont="1" applyFill="1" applyAlignment="1">
      <alignment horizontal="center"/>
    </xf>
    <xf numFmtId="0" fontId="54" fillId="2" borderId="39" xfId="2" applyFont="1" applyFill="1" applyBorder="1"/>
    <xf numFmtId="0" fontId="54" fillId="2" borderId="2" xfId="2" applyFont="1" applyFill="1" applyBorder="1"/>
    <xf numFmtId="0" fontId="53" fillId="2" borderId="2" xfId="2" applyFont="1" applyFill="1" applyBorder="1"/>
    <xf numFmtId="0" fontId="75" fillId="0" borderId="0" xfId="0" applyFont="1"/>
    <xf numFmtId="1" fontId="75" fillId="0" borderId="0" xfId="0" applyNumberFormat="1" applyFont="1"/>
    <xf numFmtId="0" fontId="75" fillId="25" borderId="40" xfId="0" applyFont="1" applyFill="1" applyBorder="1"/>
    <xf numFmtId="44" fontId="75" fillId="25" borderId="40" xfId="138" applyFont="1" applyFill="1" applyBorder="1"/>
    <xf numFmtId="0" fontId="76" fillId="2" borderId="40" xfId="0" applyFont="1" applyFill="1" applyBorder="1"/>
    <xf numFmtId="1" fontId="76" fillId="2" borderId="40" xfId="0" applyNumberFormat="1" applyFont="1" applyFill="1" applyBorder="1"/>
    <xf numFmtId="0" fontId="76" fillId="25" borderId="40" xfId="0" applyFont="1" applyFill="1" applyBorder="1"/>
    <xf numFmtId="1" fontId="76" fillId="25" borderId="40" xfId="0" applyNumberFormat="1" applyFont="1" applyFill="1" applyBorder="1"/>
    <xf numFmtId="0" fontId="75" fillId="31" borderId="40" xfId="0" applyFont="1" applyFill="1" applyBorder="1"/>
    <xf numFmtId="44" fontId="75" fillId="31" borderId="40" xfId="138" applyFont="1" applyFill="1" applyBorder="1"/>
    <xf numFmtId="0" fontId="77" fillId="0" borderId="0" xfId="0" applyFont="1"/>
    <xf numFmtId="0" fontId="78" fillId="0" borderId="0" xfId="0" applyFont="1"/>
    <xf numFmtId="0" fontId="79" fillId="32" borderId="0" xfId="0" applyFont="1" applyFill="1"/>
    <xf numFmtId="10" fontId="0" fillId="32" borderId="0" xfId="0" applyNumberFormat="1" applyFill="1"/>
    <xf numFmtId="44" fontId="0" fillId="32" borderId="0" xfId="0" applyNumberFormat="1" applyFill="1"/>
    <xf numFmtId="0" fontId="46" fillId="29" borderId="49" xfId="0" applyFont="1" applyFill="1" applyBorder="1" applyAlignment="1">
      <alignment horizontal="center"/>
    </xf>
    <xf numFmtId="0" fontId="0" fillId="0" borderId="49" xfId="0" applyBorder="1"/>
    <xf numFmtId="0" fontId="47" fillId="26" borderId="49" xfId="0" applyFont="1" applyFill="1" applyBorder="1"/>
    <xf numFmtId="44" fontId="47" fillId="26" borderId="49" xfId="138" applyFont="1" applyFill="1" applyBorder="1"/>
    <xf numFmtId="0" fontId="47" fillId="27" borderId="49" xfId="0" applyFont="1" applyFill="1" applyBorder="1"/>
    <xf numFmtId="44" fontId="47" fillId="27" borderId="49" xfId="138" applyFont="1" applyFill="1" applyBorder="1"/>
    <xf numFmtId="0" fontId="80" fillId="28" borderId="49" xfId="0" applyFont="1" applyFill="1" applyBorder="1" applyAlignment="1">
      <alignment horizontal="center" wrapText="1"/>
    </xf>
    <xf numFmtId="10" fontId="81" fillId="0" borderId="49" xfId="0" applyNumberFormat="1" applyFont="1" applyBorder="1"/>
    <xf numFmtId="44" fontId="81" fillId="0" borderId="49" xfId="0" applyNumberFormat="1" applyFont="1" applyBorder="1"/>
    <xf numFmtId="0" fontId="37" fillId="2" borderId="0" xfId="0" applyFont="1" applyFill="1"/>
    <xf numFmtId="0" fontId="59" fillId="0" borderId="50" xfId="0" applyFont="1" applyBorder="1"/>
    <xf numFmtId="6" fontId="59" fillId="0" borderId="50" xfId="0" applyNumberFormat="1" applyFont="1" applyBorder="1"/>
    <xf numFmtId="0" fontId="62" fillId="0" borderId="51" xfId="1" applyFont="1" applyBorder="1"/>
    <xf numFmtId="44" fontId="62" fillId="2" borderId="51" xfId="138" applyFont="1" applyFill="1" applyBorder="1"/>
    <xf numFmtId="0" fontId="82" fillId="0" borderId="0" xfId="0" applyFont="1"/>
    <xf numFmtId="169" fontId="0" fillId="0" borderId="0" xfId="0" applyNumberFormat="1"/>
    <xf numFmtId="168" fontId="0" fillId="0" borderId="0" xfId="0" applyNumberFormat="1"/>
    <xf numFmtId="3" fontId="0" fillId="2" borderId="0" xfId="0" applyNumberFormat="1" applyFill="1"/>
    <xf numFmtId="0" fontId="0" fillId="0" borderId="53" xfId="0" applyBorder="1"/>
    <xf numFmtId="0" fontId="0" fillId="0" borderId="54" xfId="0" applyBorder="1"/>
    <xf numFmtId="0" fontId="0" fillId="0" borderId="0" xfId="0" applyAlignment="1">
      <alignment horizontal="left"/>
    </xf>
    <xf numFmtId="172" fontId="13" fillId="2" borderId="33" xfId="0" applyNumberFormat="1" applyFont="1" applyFill="1" applyBorder="1"/>
    <xf numFmtId="168" fontId="36" fillId="0" borderId="20" xfId="0" applyNumberFormat="1" applyFont="1" applyBorder="1"/>
    <xf numFmtId="0" fontId="75" fillId="31" borderId="61" xfId="0" applyFont="1" applyFill="1" applyBorder="1"/>
    <xf numFmtId="44" fontId="0" fillId="34" borderId="61" xfId="138" applyFont="1" applyFill="1" applyBorder="1"/>
    <xf numFmtId="0" fontId="0" fillId="0" borderId="0" xfId="0" applyAlignment="1">
      <alignment horizontal="center"/>
    </xf>
    <xf numFmtId="0" fontId="69" fillId="0" borderId="20" xfId="0" applyFont="1" applyBorder="1"/>
    <xf numFmtId="3" fontId="13" fillId="0" borderId="62" xfId="0" applyNumberFormat="1" applyFont="1" applyBorder="1"/>
    <xf numFmtId="3" fontId="13" fillId="2" borderId="62" xfId="0" applyNumberFormat="1" applyFont="1" applyFill="1" applyBorder="1"/>
    <xf numFmtId="0" fontId="13" fillId="2" borderId="55" xfId="0" applyFont="1" applyFill="1" applyBorder="1"/>
    <xf numFmtId="3" fontId="13" fillId="2" borderId="56" xfId="0" applyNumberFormat="1" applyFont="1" applyFill="1" applyBorder="1"/>
    <xf numFmtId="3" fontId="0" fillId="0" borderId="62" xfId="0" applyNumberFormat="1" applyBorder="1"/>
    <xf numFmtId="0" fontId="0" fillId="0" borderId="70" xfId="0" applyBorder="1"/>
    <xf numFmtId="0" fontId="0" fillId="0" borderId="71" xfId="0" applyBorder="1"/>
    <xf numFmtId="0" fontId="0" fillId="0" borderId="67" xfId="0" applyBorder="1"/>
    <xf numFmtId="0" fontId="0" fillId="0" borderId="72" xfId="0" applyBorder="1"/>
    <xf numFmtId="0" fontId="0" fillId="0" borderId="73" xfId="0" applyBorder="1"/>
    <xf numFmtId="0" fontId="0" fillId="0" borderId="74" xfId="0" applyBorder="1"/>
    <xf numFmtId="0" fontId="0" fillId="0" borderId="75" xfId="0" applyBorder="1"/>
    <xf numFmtId="0" fontId="0" fillId="0" borderId="76" xfId="0" applyBorder="1"/>
    <xf numFmtId="0" fontId="0" fillId="0" borderId="66" xfId="0" applyBorder="1"/>
    <xf numFmtId="0" fontId="13" fillId="0" borderId="59" xfId="0" applyFont="1" applyBorder="1"/>
    <xf numFmtId="0" fontId="0" fillId="0" borderId="60" xfId="0" applyBorder="1"/>
    <xf numFmtId="0" fontId="0" fillId="0" borderId="78" xfId="0" applyBorder="1"/>
    <xf numFmtId="0" fontId="0" fillId="0" borderId="79" xfId="0" applyBorder="1"/>
    <xf numFmtId="3" fontId="0" fillId="0" borderId="73" xfId="0" applyNumberFormat="1" applyBorder="1"/>
    <xf numFmtId="172" fontId="0" fillId="0" borderId="79" xfId="139" applyNumberFormat="1" applyFont="1" applyBorder="1" applyAlignment="1">
      <alignment horizontal="right"/>
    </xf>
    <xf numFmtId="0" fontId="0" fillId="0" borderId="80" xfId="0" applyBorder="1"/>
    <xf numFmtId="0" fontId="0" fillId="0" borderId="81" xfId="0" applyBorder="1"/>
    <xf numFmtId="0" fontId="0" fillId="0" borderId="82" xfId="0" applyBorder="1"/>
    <xf numFmtId="0" fontId="0" fillId="0" borderId="59" xfId="0" applyBorder="1"/>
    <xf numFmtId="0" fontId="13" fillId="0" borderId="78" xfId="0" applyFont="1" applyBorder="1"/>
    <xf numFmtId="3" fontId="0" fillId="0" borderId="79" xfId="0" applyNumberFormat="1" applyBorder="1"/>
    <xf numFmtId="0" fontId="0" fillId="0" borderId="83" xfId="0" applyBorder="1"/>
    <xf numFmtId="3" fontId="0" fillId="0" borderId="84" xfId="0" applyNumberFormat="1" applyBorder="1"/>
    <xf numFmtId="0" fontId="13" fillId="0" borderId="85" xfId="0" applyFont="1" applyBorder="1"/>
    <xf numFmtId="0" fontId="0" fillId="0" borderId="86" xfId="0" applyBorder="1"/>
    <xf numFmtId="3" fontId="13" fillId="0" borderId="0" xfId="0" applyNumberFormat="1" applyFont="1"/>
    <xf numFmtId="0" fontId="13" fillId="0" borderId="65" xfId="0" applyFont="1" applyBorder="1"/>
    <xf numFmtId="0" fontId="0" fillId="2" borderId="77" xfId="0" applyFill="1" applyBorder="1"/>
    <xf numFmtId="3" fontId="0" fillId="2" borderId="77" xfId="0" applyNumberFormat="1" applyFill="1" applyBorder="1"/>
    <xf numFmtId="168" fontId="0" fillId="0" borderId="22" xfId="0" applyNumberFormat="1" applyBorder="1" applyAlignment="1">
      <alignment horizontal="right"/>
    </xf>
    <xf numFmtId="168" fontId="0" fillId="0" borderId="22" xfId="138" applyNumberFormat="1" applyFont="1" applyBorder="1" applyAlignment="1">
      <alignment horizontal="right"/>
    </xf>
    <xf numFmtId="9" fontId="66" fillId="0" borderId="0" xfId="74" applyFont="1"/>
    <xf numFmtId="0" fontId="0" fillId="0" borderId="0" xfId="0" applyAlignment="1">
      <alignment wrapText="1" shrinkToFit="1"/>
    </xf>
    <xf numFmtId="2" fontId="0" fillId="2" borderId="0" xfId="0" applyNumberFormat="1" applyFill="1"/>
    <xf numFmtId="0" fontId="0" fillId="2" borderId="0" xfId="0" applyFill="1" applyAlignment="1">
      <alignment wrapText="1"/>
    </xf>
    <xf numFmtId="0" fontId="13" fillId="0" borderId="68" xfId="0" applyFont="1" applyBorder="1"/>
    <xf numFmtId="0" fontId="13" fillId="0" borderId="69" xfId="0" applyFont="1" applyBorder="1"/>
    <xf numFmtId="0" fontId="0" fillId="33" borderId="68" xfId="0" applyFill="1" applyBorder="1"/>
    <xf numFmtId="168" fontId="0" fillId="33" borderId="68" xfId="0" applyNumberFormat="1" applyFill="1" applyBorder="1"/>
    <xf numFmtId="10" fontId="0" fillId="33" borderId="68" xfId="0" applyNumberFormat="1" applyFill="1" applyBorder="1"/>
    <xf numFmtId="10" fontId="0" fillId="33" borderId="68" xfId="74" applyNumberFormat="1" applyFont="1" applyFill="1" applyBorder="1"/>
    <xf numFmtId="0" fontId="0" fillId="0" borderId="68" xfId="0" applyBorder="1" applyAlignment="1">
      <alignment horizontal="center"/>
    </xf>
    <xf numFmtId="10" fontId="0" fillId="0" borderId="0" xfId="74" applyNumberFormat="1" applyFont="1"/>
    <xf numFmtId="168" fontId="0" fillId="33" borderId="68" xfId="138" applyNumberFormat="1" applyFont="1" applyFill="1" applyBorder="1"/>
    <xf numFmtId="3" fontId="0" fillId="33" borderId="68" xfId="139" applyNumberFormat="1" applyFont="1" applyFill="1" applyBorder="1"/>
    <xf numFmtId="0" fontId="0" fillId="33" borderId="68" xfId="138" applyNumberFormat="1" applyFont="1" applyFill="1" applyBorder="1"/>
    <xf numFmtId="3" fontId="0" fillId="33" borderId="68" xfId="0" applyNumberFormat="1" applyFill="1" applyBorder="1"/>
    <xf numFmtId="0" fontId="13" fillId="35" borderId="68" xfId="0" applyFont="1" applyFill="1" applyBorder="1" applyAlignment="1">
      <alignment horizontal="center"/>
    </xf>
    <xf numFmtId="0" fontId="13" fillId="35" borderId="68" xfId="0" applyFont="1" applyFill="1" applyBorder="1"/>
    <xf numFmtId="0" fontId="0" fillId="0" borderId="0" xfId="0"/>
    <xf numFmtId="168" fontId="0" fillId="35" borderId="68" xfId="0" applyNumberFormat="1" applyFill="1" applyBorder="1"/>
    <xf numFmtId="167" fontId="0" fillId="35" borderId="68" xfId="139" applyFont="1" applyFill="1" applyBorder="1"/>
    <xf numFmtId="0" fontId="0" fillId="0" borderId="87" xfId="0" applyBorder="1"/>
    <xf numFmtId="0" fontId="83" fillId="0" borderId="78" xfId="0" applyFont="1" applyBorder="1"/>
    <xf numFmtId="0" fontId="83" fillId="0" borderId="68" xfId="0" applyFont="1" applyBorder="1"/>
    <xf numFmtId="0" fontId="83" fillId="0" borderId="79" xfId="0" applyFont="1" applyBorder="1"/>
    <xf numFmtId="0" fontId="13" fillId="36" borderId="63" xfId="0" applyFont="1" applyFill="1" applyBorder="1" applyAlignment="1">
      <alignment horizontal="center"/>
    </xf>
    <xf numFmtId="0" fontId="13" fillId="36" borderId="64" xfId="0" applyFont="1" applyFill="1" applyBorder="1" applyAlignment="1">
      <alignment horizontal="center"/>
    </xf>
    <xf numFmtId="0" fontId="13" fillId="36" borderId="87" xfId="0" applyFont="1" applyFill="1" applyBorder="1" applyAlignment="1">
      <alignment horizontal="center"/>
    </xf>
    <xf numFmtId="167" fontId="0" fillId="35" borderId="68" xfId="0" applyNumberFormat="1" applyFill="1" applyBorder="1"/>
    <xf numFmtId="0" fontId="0" fillId="33" borderId="52" xfId="0" applyFill="1" applyBorder="1"/>
    <xf numFmtId="0" fontId="13" fillId="0" borderId="62" xfId="0" applyFont="1" applyBorder="1"/>
    <xf numFmtId="44" fontId="0" fillId="35" borderId="68" xfId="0" applyNumberFormat="1" applyFill="1" applyBorder="1"/>
    <xf numFmtId="44" fontId="0" fillId="33" borderId="68" xfId="0" applyNumberFormat="1" applyFill="1" applyBorder="1"/>
    <xf numFmtId="0" fontId="84" fillId="0" borderId="0" xfId="0" applyFont="1"/>
    <xf numFmtId="44" fontId="0" fillId="0" borderId="0" xfId="0" applyNumberFormat="1"/>
    <xf numFmtId="0" fontId="13" fillId="2" borderId="0" xfId="0" applyFont="1" applyFill="1"/>
    <xf numFmtId="44" fontId="13" fillId="2" borderId="0" xfId="0" applyNumberFormat="1" applyFont="1" applyFill="1"/>
    <xf numFmtId="0" fontId="67" fillId="0" borderId="66" xfId="4" applyFont="1" applyBorder="1" applyAlignment="1">
      <alignment horizontal="center" wrapText="1"/>
    </xf>
    <xf numFmtId="10" fontId="36" fillId="0" borderId="35" xfId="0" applyNumberFormat="1" applyFont="1" applyBorder="1"/>
    <xf numFmtId="10" fontId="36" fillId="0" borderId="20" xfId="0" applyNumberFormat="1" applyFont="1" applyBorder="1"/>
    <xf numFmtId="0" fontId="51" fillId="0" borderId="26" xfId="2" applyFont="1" applyBorder="1" applyAlignment="1">
      <alignment horizontal="center"/>
    </xf>
    <xf numFmtId="0" fontId="51" fillId="0" borderId="0" xfId="2" applyFont="1" applyAlignment="1">
      <alignment horizontal="center"/>
    </xf>
    <xf numFmtId="0" fontId="51" fillId="0" borderId="27" xfId="2" applyFont="1" applyBorder="1" applyAlignment="1">
      <alignment horizontal="center"/>
    </xf>
    <xf numFmtId="171" fontId="51" fillId="0" borderId="26" xfId="2" applyNumberFormat="1" applyFont="1" applyBorder="1" applyAlignment="1">
      <alignment horizontal="center"/>
    </xf>
    <xf numFmtId="171" fontId="51" fillId="0" borderId="0" xfId="2" applyNumberFormat="1" applyFont="1" applyAlignment="1">
      <alignment horizontal="center"/>
    </xf>
    <xf numFmtId="171" fontId="51" fillId="0" borderId="27" xfId="2" applyNumberFormat="1" applyFont="1" applyBorder="1" applyAlignment="1">
      <alignment horizontal="center"/>
    </xf>
    <xf numFmtId="0" fontId="52" fillId="2" borderId="26" xfId="2" applyFont="1" applyFill="1" applyBorder="1" applyAlignment="1">
      <alignment horizontal="center" shrinkToFit="1"/>
    </xf>
    <xf numFmtId="0" fontId="52" fillId="2" borderId="0" xfId="2" applyFont="1" applyFill="1" applyAlignment="1">
      <alignment horizontal="center" shrinkToFit="1"/>
    </xf>
    <xf numFmtId="0" fontId="52" fillId="2" borderId="27" xfId="2" applyFont="1" applyFill="1" applyBorder="1" applyAlignment="1">
      <alignment horizontal="center" shrinkToFit="1"/>
    </xf>
    <xf numFmtId="0" fontId="52" fillId="2" borderId="28" xfId="2" applyFont="1" applyFill="1" applyBorder="1" applyAlignment="1">
      <alignment horizontal="center" shrinkToFit="1"/>
    </xf>
    <xf numFmtId="0" fontId="52" fillId="2" borderId="1" xfId="2" applyFont="1" applyFill="1" applyBorder="1" applyAlignment="1">
      <alignment horizontal="center" shrinkToFit="1"/>
    </xf>
    <xf numFmtId="0" fontId="52" fillId="2" borderId="29" xfId="2" applyFont="1" applyFill="1" applyBorder="1" applyAlignment="1">
      <alignment horizontal="center" shrinkToFit="1"/>
    </xf>
    <xf numFmtId="0" fontId="0" fillId="0" borderId="0" xfId="0" applyAlignment="1">
      <alignment horizontal="left" wrapText="1"/>
    </xf>
    <xf numFmtId="0" fontId="40" fillId="0" borderId="16" xfId="0" applyFont="1" applyBorder="1" applyAlignment="1">
      <alignment horizontal="center"/>
    </xf>
    <xf numFmtId="0" fontId="40" fillId="0" borderId="0" xfId="0" applyFont="1" applyAlignment="1">
      <alignment horizontal="center"/>
    </xf>
    <xf numFmtId="0" fontId="40" fillId="0" borderId="1" xfId="0" applyFont="1" applyBorder="1" applyAlignment="1">
      <alignment horizontal="center"/>
    </xf>
    <xf numFmtId="0" fontId="6" fillId="0" borderId="16" xfId="0" applyFont="1" applyBorder="1" applyAlignment="1">
      <alignment horizontal="center"/>
    </xf>
    <xf numFmtId="0" fontId="6" fillId="0" borderId="1" xfId="0" applyFont="1" applyBorder="1" applyAlignment="1">
      <alignment horizontal="center"/>
    </xf>
    <xf numFmtId="0" fontId="65" fillId="25" borderId="1" xfId="6" applyFont="1" applyFill="1" applyBorder="1" applyAlignment="1">
      <alignment horizontal="center"/>
    </xf>
    <xf numFmtId="0" fontId="65" fillId="25" borderId="0" xfId="6" applyFont="1" applyFill="1" applyAlignment="1">
      <alignment horizontal="center"/>
    </xf>
    <xf numFmtId="0" fontId="2" fillId="2" borderId="0" xfId="0" applyFont="1" applyFill="1" applyAlignment="1">
      <alignment horizontal="center"/>
    </xf>
    <xf numFmtId="0" fontId="6" fillId="2" borderId="0" xfId="0" applyFont="1" applyFill="1" applyAlignment="1">
      <alignment horizontal="center"/>
    </xf>
    <xf numFmtId="0" fontId="0" fillId="0" borderId="41"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0" fillId="0" borderId="44" xfId="0" applyBorder="1" applyAlignment="1">
      <alignment horizontal="center"/>
    </xf>
    <xf numFmtId="0" fontId="0" fillId="0" borderId="0" xfId="0" applyAlignment="1">
      <alignment horizontal="center"/>
    </xf>
    <xf numFmtId="0" fontId="0" fillId="0" borderId="45" xfId="0" applyBorder="1" applyAlignment="1">
      <alignment horizontal="center"/>
    </xf>
    <xf numFmtId="0" fontId="0" fillId="0" borderId="44" xfId="0" applyBorder="1" applyAlignment="1">
      <alignment horizontal="center" wrapText="1"/>
    </xf>
    <xf numFmtId="0" fontId="0" fillId="0" borderId="0" xfId="0" applyAlignment="1">
      <alignment horizontal="center" wrapText="1"/>
    </xf>
    <xf numFmtId="0" fontId="0" fillId="0" borderId="45" xfId="0" applyBorder="1" applyAlignment="1">
      <alignment horizontal="center" wrapText="1"/>
    </xf>
    <xf numFmtId="0" fontId="0" fillId="0" borderId="46" xfId="0" applyBorder="1" applyAlignment="1">
      <alignment horizontal="center"/>
    </xf>
    <xf numFmtId="0" fontId="0" fillId="0" borderId="47" xfId="0" applyBorder="1" applyAlignment="1">
      <alignment horizontal="center"/>
    </xf>
    <xf numFmtId="0" fontId="0" fillId="0" borderId="48" xfId="0" applyBorder="1" applyAlignment="1">
      <alignment horizontal="center"/>
    </xf>
    <xf numFmtId="0" fontId="0" fillId="0" borderId="57" xfId="0" applyBorder="1" applyAlignment="1">
      <alignment horizontal="center"/>
    </xf>
    <xf numFmtId="0" fontId="0" fillId="0" borderId="58" xfId="0" applyBorder="1" applyAlignment="1">
      <alignment horizontal="center"/>
    </xf>
    <xf numFmtId="0" fontId="13" fillId="0" borderId="57" xfId="0" applyFont="1" applyBorder="1" applyAlignment="1">
      <alignment horizontal="center"/>
    </xf>
    <xf numFmtId="0" fontId="13" fillId="0" borderId="58" xfId="0" applyFont="1" applyBorder="1" applyAlignment="1">
      <alignment horizontal="center"/>
    </xf>
    <xf numFmtId="0" fontId="0" fillId="35" borderId="63" xfId="0" applyFill="1" applyBorder="1" applyAlignment="1">
      <alignment horizontal="center"/>
    </xf>
    <xf numFmtId="0" fontId="0" fillId="35" borderId="64" xfId="0" applyFill="1" applyBorder="1" applyAlignment="1">
      <alignment horizontal="center"/>
    </xf>
    <xf numFmtId="0" fontId="13" fillId="35" borderId="63" xfId="0" applyFont="1" applyFill="1" applyBorder="1" applyAlignment="1">
      <alignment horizontal="center"/>
    </xf>
    <xf numFmtId="0" fontId="13" fillId="35" borderId="64" xfId="0" applyFont="1" applyFill="1" applyBorder="1" applyAlignment="1">
      <alignment horizontal="center"/>
    </xf>
    <xf numFmtId="0" fontId="13" fillId="35" borderId="87" xfId="0" applyFont="1" applyFill="1" applyBorder="1" applyAlignment="1">
      <alignment horizontal="center"/>
    </xf>
    <xf numFmtId="0" fontId="13" fillId="35" borderId="86" xfId="0" applyFont="1" applyFill="1" applyBorder="1" applyAlignment="1">
      <alignment horizontal="center"/>
    </xf>
    <xf numFmtId="0" fontId="0" fillId="36" borderId="63" xfId="0" applyFill="1" applyBorder="1" applyAlignment="1">
      <alignment horizontal="center"/>
    </xf>
    <xf numFmtId="0" fontId="0" fillId="36" borderId="87" xfId="0" applyFill="1" applyBorder="1" applyAlignment="1">
      <alignment horizontal="center"/>
    </xf>
    <xf numFmtId="0" fontId="0" fillId="36" borderId="64" xfId="0" applyFill="1" applyBorder="1" applyAlignment="1">
      <alignment horizontal="center"/>
    </xf>
    <xf numFmtId="0" fontId="61" fillId="0" borderId="0" xfId="0" applyFont="1" applyFill="1"/>
    <xf numFmtId="0" fontId="0" fillId="0" borderId="0" xfId="0" applyFill="1"/>
    <xf numFmtId="0" fontId="12" fillId="0" borderId="0" xfId="3" applyFill="1"/>
  </cellXfs>
  <cellStyles count="200">
    <cellStyle name="20% - Accent1 2" xfId="5" xr:uid="{00000000-0005-0000-0000-000000000000}"/>
    <cellStyle name="20% - Accent1 2 2" xfId="6" xr:uid="{00000000-0005-0000-0000-000001000000}"/>
    <cellStyle name="20% - Accent2 2" xfId="7" xr:uid="{00000000-0005-0000-0000-000002000000}"/>
    <cellStyle name="20% - Accent2 2 2" xfId="8" xr:uid="{00000000-0005-0000-0000-000003000000}"/>
    <cellStyle name="20% - Accent3 2" xfId="9" xr:uid="{00000000-0005-0000-0000-000004000000}"/>
    <cellStyle name="20% - Accent3 2 2" xfId="10" xr:uid="{00000000-0005-0000-0000-000005000000}"/>
    <cellStyle name="20% - Accent3 3" xfId="140" xr:uid="{00000000-0005-0000-0000-000006000000}"/>
    <cellStyle name="20% - Accent4 2" xfId="11" xr:uid="{00000000-0005-0000-0000-000007000000}"/>
    <cellStyle name="20% - Accent4 2 2" xfId="12" xr:uid="{00000000-0005-0000-0000-000008000000}"/>
    <cellStyle name="20% - Accent5 2" xfId="13" xr:uid="{00000000-0005-0000-0000-000009000000}"/>
    <cellStyle name="20% - Accent5 2 2" xfId="14" xr:uid="{00000000-0005-0000-0000-00000A000000}"/>
    <cellStyle name="20% - Accent6 2" xfId="15" xr:uid="{00000000-0005-0000-0000-00000B000000}"/>
    <cellStyle name="20% - Accent6 2 2" xfId="16" xr:uid="{00000000-0005-0000-0000-00000C000000}"/>
    <cellStyle name="40% - Accent1 2" xfId="17" xr:uid="{00000000-0005-0000-0000-00000D000000}"/>
    <cellStyle name="40% - Accent1 2 2" xfId="18" xr:uid="{00000000-0005-0000-0000-00000E000000}"/>
    <cellStyle name="40% - Accent2 2" xfId="19" xr:uid="{00000000-0005-0000-0000-00000F000000}"/>
    <cellStyle name="40% - Accent2 2 2" xfId="20" xr:uid="{00000000-0005-0000-0000-000010000000}"/>
    <cellStyle name="40% - Accent3 2" xfId="21" xr:uid="{00000000-0005-0000-0000-000011000000}"/>
    <cellStyle name="40% - Accent3 2 2" xfId="22" xr:uid="{00000000-0005-0000-0000-000012000000}"/>
    <cellStyle name="40% - Accent4 2" xfId="23" xr:uid="{00000000-0005-0000-0000-000013000000}"/>
    <cellStyle name="40% - Accent4 2 2" xfId="24" xr:uid="{00000000-0005-0000-0000-000014000000}"/>
    <cellStyle name="40% - Accent5 2" xfId="25" xr:uid="{00000000-0005-0000-0000-000015000000}"/>
    <cellStyle name="40% - Accent5 2 2" xfId="26" xr:uid="{00000000-0005-0000-0000-000016000000}"/>
    <cellStyle name="40% - Accent6 2" xfId="27" xr:uid="{00000000-0005-0000-0000-000017000000}"/>
    <cellStyle name="40% - Accent6 2 2" xfId="28" xr:uid="{00000000-0005-0000-0000-000018000000}"/>
    <cellStyle name="60% - Accent1 2" xfId="29" xr:uid="{00000000-0005-0000-0000-000019000000}"/>
    <cellStyle name="60% - Accent2 2" xfId="30" xr:uid="{00000000-0005-0000-0000-00001A000000}"/>
    <cellStyle name="60% - Accent3 2" xfId="31" xr:uid="{00000000-0005-0000-0000-00001B000000}"/>
    <cellStyle name="60% - Accent4 2" xfId="32" xr:uid="{00000000-0005-0000-0000-00001C000000}"/>
    <cellStyle name="60% - Accent5 2" xfId="33" xr:uid="{00000000-0005-0000-0000-00001D000000}"/>
    <cellStyle name="60% - Accent6 2" xfId="34" xr:uid="{00000000-0005-0000-0000-00001E000000}"/>
    <cellStyle name="Accent1 2" xfId="35" xr:uid="{00000000-0005-0000-0000-00001F000000}"/>
    <cellStyle name="Accent2 2" xfId="36" xr:uid="{00000000-0005-0000-0000-000020000000}"/>
    <cellStyle name="Accent3 2" xfId="37" xr:uid="{00000000-0005-0000-0000-000021000000}"/>
    <cellStyle name="Accent4 2" xfId="38" xr:uid="{00000000-0005-0000-0000-000022000000}"/>
    <cellStyle name="Accent5 2" xfId="39" xr:uid="{00000000-0005-0000-0000-000023000000}"/>
    <cellStyle name="Accent6 2" xfId="40" xr:uid="{00000000-0005-0000-0000-000024000000}"/>
    <cellStyle name="Bad 2" xfId="41" xr:uid="{00000000-0005-0000-0000-000025000000}"/>
    <cellStyle name="Calculation 2" xfId="42" xr:uid="{00000000-0005-0000-0000-000026000000}"/>
    <cellStyle name="Check Cell 2" xfId="43" xr:uid="{00000000-0005-0000-0000-000027000000}"/>
    <cellStyle name="Comma" xfId="139" builtinId="3"/>
    <cellStyle name="Comma 2" xfId="44" xr:uid="{00000000-0005-0000-0000-000029000000}"/>
    <cellStyle name="Comma 3" xfId="141" xr:uid="{00000000-0005-0000-0000-00002A000000}"/>
    <cellStyle name="Currency" xfId="138" builtinId="4"/>
    <cellStyle name="Currency 2" xfId="45" xr:uid="{00000000-0005-0000-0000-00002C000000}"/>
    <cellStyle name="Currency 2 2" xfId="46" xr:uid="{00000000-0005-0000-0000-00002D000000}"/>
    <cellStyle name="Currency 2 3" xfId="47" xr:uid="{00000000-0005-0000-0000-00002E000000}"/>
    <cellStyle name="Explanatory Text 2" xfId="48" xr:uid="{00000000-0005-0000-0000-00002F000000}"/>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Good 2" xfId="49" xr:uid="{00000000-0005-0000-0000-00008A000000}"/>
    <cellStyle name="Good 2 2" xfId="50" xr:uid="{00000000-0005-0000-0000-00008B000000}"/>
    <cellStyle name="Heading 1" xfId="4" builtinId="16"/>
    <cellStyle name="Heading 1 2" xfId="51" xr:uid="{00000000-0005-0000-0000-00008D000000}"/>
    <cellStyle name="Heading 2 2" xfId="52" xr:uid="{00000000-0005-0000-0000-00008E000000}"/>
    <cellStyle name="Heading 3 2" xfId="53" xr:uid="{00000000-0005-0000-0000-00008F000000}"/>
    <cellStyle name="Heading 3 2 2" xfId="54" xr:uid="{00000000-0005-0000-0000-000090000000}"/>
    <cellStyle name="Heading 4" xfId="1" builtinId="19"/>
    <cellStyle name="Heading 4 2" xfId="55" xr:uid="{00000000-0005-0000-0000-000092000000}"/>
    <cellStyle name="Heading 4 2 2" xfId="56" xr:uid="{00000000-0005-0000-0000-000093000000}"/>
    <cellStyle name="Heading 4 3" xfId="57" xr:uid="{00000000-0005-0000-0000-000094000000}"/>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2" xfId="58" xr:uid="{00000000-0005-0000-0000-0000B1000000}"/>
    <cellStyle name="Input 2" xfId="59" xr:uid="{00000000-0005-0000-0000-0000B2000000}"/>
    <cellStyle name="Linked Cell 2" xfId="60" xr:uid="{00000000-0005-0000-0000-0000B3000000}"/>
    <cellStyle name="Neutral 2" xfId="61" xr:uid="{00000000-0005-0000-0000-0000B4000000}"/>
    <cellStyle name="Normal" xfId="0" builtinId="0"/>
    <cellStyle name="Normal 2" xfId="2" xr:uid="{00000000-0005-0000-0000-0000B6000000}"/>
    <cellStyle name="Normal 2 2" xfId="62" xr:uid="{00000000-0005-0000-0000-0000B7000000}"/>
    <cellStyle name="Normal 2_Answer Key #9" xfId="142" xr:uid="{00000000-0005-0000-0000-0000B8000000}"/>
    <cellStyle name="Normal 3" xfId="63" xr:uid="{00000000-0005-0000-0000-0000B9000000}"/>
    <cellStyle name="Normal 4" xfId="109" xr:uid="{00000000-0005-0000-0000-0000BA000000}"/>
    <cellStyle name="Note 2" xfId="64" xr:uid="{00000000-0005-0000-0000-0000BB000000}"/>
    <cellStyle name="Output 2" xfId="65" xr:uid="{00000000-0005-0000-0000-0000BC000000}"/>
    <cellStyle name="Percent" xfId="74" builtinId="5"/>
    <cellStyle name="Percent 2" xfId="66" xr:uid="{00000000-0005-0000-0000-0000BE000000}"/>
    <cellStyle name="Percent 2 2" xfId="67" xr:uid="{00000000-0005-0000-0000-0000BF000000}"/>
    <cellStyle name="Percent 3" xfId="143" xr:uid="{00000000-0005-0000-0000-0000C0000000}"/>
    <cellStyle name="Title" xfId="3" builtinId="15"/>
    <cellStyle name="Title 2" xfId="68" xr:uid="{00000000-0005-0000-0000-0000C2000000}"/>
    <cellStyle name="Title 2 2" xfId="69" xr:uid="{00000000-0005-0000-0000-0000C3000000}"/>
    <cellStyle name="Title 3" xfId="70" xr:uid="{00000000-0005-0000-0000-0000C4000000}"/>
    <cellStyle name="Total 2" xfId="71" xr:uid="{00000000-0005-0000-0000-0000C5000000}"/>
    <cellStyle name="Total 2 2" xfId="72" xr:uid="{00000000-0005-0000-0000-0000C6000000}"/>
    <cellStyle name="Warning Text 2" xfId="73" xr:uid="{00000000-0005-0000-0000-0000C7000000}"/>
  </cellStyles>
  <dxfs count="0"/>
  <tableStyles count="0" defaultTableStyle="TableStyleMedium9" defaultPivotStyle="PivotStyleLight16"/>
  <colors>
    <mruColors>
      <color rgb="FFF2DC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2 Year Collections</a:t>
            </a:r>
            <a:r>
              <a:rPr lang="en-US" baseline="0"/>
              <a:t> Forecast</a:t>
            </a:r>
            <a:endParaRPr lang="en-US"/>
          </a:p>
        </c:rich>
      </c:tx>
      <c:overlay val="0"/>
      <c:spPr>
        <a:noFill/>
        <a:ln>
          <a:noFill/>
        </a:ln>
        <a:effectLst/>
      </c:spPr>
    </c:title>
    <c:autoTitleDeleted val="0"/>
    <c:plotArea>
      <c:layout/>
      <c:lineChart>
        <c:grouping val="standard"/>
        <c:varyColors val="0"/>
        <c:ser>
          <c:idx val="0"/>
          <c:order val="0"/>
          <c:spPr>
            <a:ln w="22225" cap="rnd">
              <a:solidFill>
                <a:schemeClr val="accent1"/>
              </a:solidFill>
              <a:round/>
            </a:ln>
            <a:effectLst/>
          </c:spPr>
          <c:marker>
            <c:symbol val="none"/>
          </c:marker>
          <c:cat>
            <c:numRef>
              <c:f>' Problem #8'!$A$26:$A$39</c:f>
              <c:numCache>
                <c:formatCode>General</c:formatCode>
                <c:ptCount val="14"/>
              </c:numCache>
            </c:numRef>
          </c:cat>
          <c:val>
            <c:numRef>
              <c:f>' Problem #8'!$B$26:$B$39</c:f>
              <c:numCache>
                <c:formatCode>General</c:formatCode>
                <c:ptCount val="14"/>
              </c:numCache>
            </c:numRef>
          </c:val>
          <c:smooth val="0"/>
          <c:extLst>
            <c:ext xmlns:c16="http://schemas.microsoft.com/office/drawing/2014/chart" uri="{C3380CC4-5D6E-409C-BE32-E72D297353CC}">
              <c16:uniqueId val="{00000000-5B51-4F72-B7CA-F62313E4F56C}"/>
            </c:ext>
          </c:extLst>
        </c:ser>
        <c:dLbls>
          <c:showLegendKey val="0"/>
          <c:showVal val="0"/>
          <c:showCatName val="0"/>
          <c:showSerName val="0"/>
          <c:showPercent val="0"/>
          <c:showBubbleSize val="0"/>
        </c:dLbls>
        <c:smooth val="0"/>
        <c:axId val="120282496"/>
        <c:axId val="120321152"/>
      </c:lineChart>
      <c:catAx>
        <c:axId val="120282496"/>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0321152"/>
        <c:crosses val="autoZero"/>
        <c:auto val="1"/>
        <c:lblAlgn val="ctr"/>
        <c:lblOffset val="100"/>
        <c:noMultiLvlLbl val="0"/>
      </c:catAx>
      <c:valAx>
        <c:axId val="120321152"/>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0282496"/>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tx1">
                    <a:lumMod val="95000"/>
                    <a:lumOff val="5000"/>
                  </a:schemeClr>
                </a:solidFill>
                <a:latin typeface="+mn-lt"/>
                <a:ea typeface="+mn-ea"/>
                <a:cs typeface="+mn-cs"/>
              </a:defRPr>
            </a:pPr>
            <a:r>
              <a:rPr lang="en-US">
                <a:solidFill>
                  <a:schemeClr val="tx1">
                    <a:lumMod val="95000"/>
                    <a:lumOff val="5000"/>
                  </a:schemeClr>
                </a:solidFill>
              </a:rPr>
              <a:t>MPA</a:t>
            </a:r>
            <a:r>
              <a:rPr lang="en-US" baseline="0">
                <a:solidFill>
                  <a:schemeClr val="tx1">
                    <a:lumMod val="95000"/>
                    <a:lumOff val="5000"/>
                  </a:schemeClr>
                </a:solidFill>
              </a:rPr>
              <a:t> Pediatrics Clinic's Data</a:t>
            </a:r>
            <a:endParaRPr lang="en-US">
              <a:solidFill>
                <a:schemeClr val="tx1">
                  <a:lumMod val="95000"/>
                  <a:lumOff val="5000"/>
                </a:schemeClr>
              </a:solidFill>
            </a:endParaRPr>
          </a:p>
        </c:rich>
      </c:tx>
      <c:overlay val="0"/>
      <c:spPr>
        <a:solidFill>
          <a:schemeClr val="accent3">
            <a:lumMod val="60000"/>
            <a:lumOff val="40000"/>
          </a:schemeClr>
        </a:solidFill>
        <a:ln>
          <a:noFill/>
        </a:ln>
        <a:effectLst/>
      </c:spPr>
      <c:txPr>
        <a:bodyPr rot="0" spcFirstLastPara="1" vertOverflow="ellipsis" vert="horz" wrap="square" anchor="ctr" anchorCtr="1"/>
        <a:lstStyle/>
        <a:p>
          <a:pPr>
            <a:defRPr sz="1400" b="1" i="0" u="none" strike="noStrike" kern="1200" cap="none" baseline="0">
              <a:solidFill>
                <a:schemeClr val="tx1">
                  <a:lumMod val="95000"/>
                  <a:lumOff val="5000"/>
                </a:schemeClr>
              </a:solidFill>
              <a:latin typeface="+mn-lt"/>
              <a:ea typeface="+mn-ea"/>
              <a:cs typeface="+mn-cs"/>
            </a:defRPr>
          </a:pPr>
          <a:endParaRPr lang="en-US"/>
        </a:p>
      </c:txPr>
    </c:title>
    <c:autoTitleDeleted val="0"/>
    <c:plotArea>
      <c:layout/>
      <c:scatterChart>
        <c:scatterStyle val="lineMarker"/>
        <c:varyColors val="0"/>
        <c:ser>
          <c:idx val="0"/>
          <c:order val="0"/>
          <c:tx>
            <c:strRef>
              <c:f>' Problem #8'!$B$7</c:f>
              <c:strCache>
                <c:ptCount val="1"/>
                <c:pt idx="0">
                  <c:v>Collections</c:v>
                </c:pt>
              </c:strCache>
            </c:strRef>
          </c:tx>
          <c:spPr>
            <a:ln w="22225" cap="rnd">
              <a:solidFill>
                <a:schemeClr val="accent1"/>
              </a:solidFill>
            </a:ln>
            <a:effectLst>
              <a:glow rad="139700">
                <a:schemeClr val="accent1">
                  <a:satMod val="175000"/>
                  <a:alpha val="14000"/>
                </a:schemeClr>
              </a:glow>
            </a:effectLst>
          </c:spPr>
          <c:marker>
            <c:symbol val="none"/>
          </c:marker>
          <c:xVal>
            <c:numRef>
              <c:f>' Problem #8'!$A$8:$A$21</c:f>
              <c:numCache>
                <c:formatCode>General</c:formatCod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numCache>
            </c:numRef>
          </c:xVal>
          <c:yVal>
            <c:numRef>
              <c:f>' Problem #8'!$B$8:$B$21</c:f>
              <c:numCache>
                <c:formatCode>_("$"* #,##0.00_);_("$"* \(#,##0.00\);_("$"* "-"??_);_(@_)</c:formatCode>
                <c:ptCount val="14"/>
                <c:pt idx="0">
                  <c:v>11300.25</c:v>
                </c:pt>
                <c:pt idx="1">
                  <c:v>16750</c:v>
                </c:pt>
                <c:pt idx="2">
                  <c:v>15500.3</c:v>
                </c:pt>
                <c:pt idx="3">
                  <c:v>12500</c:v>
                </c:pt>
                <c:pt idx="4">
                  <c:v>13575</c:v>
                </c:pt>
                <c:pt idx="5">
                  <c:v>12265</c:v>
                </c:pt>
                <c:pt idx="6">
                  <c:v>14000</c:v>
                </c:pt>
                <c:pt idx="7">
                  <c:v>12225.5</c:v>
                </c:pt>
                <c:pt idx="8">
                  <c:v>13333.25</c:v>
                </c:pt>
                <c:pt idx="9">
                  <c:v>15999</c:v>
                </c:pt>
                <c:pt idx="10">
                  <c:v>12400.5</c:v>
                </c:pt>
                <c:pt idx="11">
                  <c:v>13500</c:v>
                </c:pt>
                <c:pt idx="12">
                  <c:v>13957.650000000001</c:v>
                </c:pt>
                <c:pt idx="13">
                  <c:v>14430.814335000003</c:v>
                </c:pt>
              </c:numCache>
            </c:numRef>
          </c:yVal>
          <c:smooth val="0"/>
          <c:extLst>
            <c:ext xmlns:c16="http://schemas.microsoft.com/office/drawing/2014/chart" uri="{C3380CC4-5D6E-409C-BE32-E72D297353CC}">
              <c16:uniqueId val="{00000000-464E-4C23-A482-4DDC46453988}"/>
            </c:ext>
          </c:extLst>
        </c:ser>
        <c:ser>
          <c:idx val="1"/>
          <c:order val="1"/>
          <c:tx>
            <c:strRef>
              <c:f>' Problem #8'!$C$7</c:f>
              <c:strCache>
                <c:ptCount val="1"/>
                <c:pt idx="0">
                  <c:v>Percentage Change</c:v>
                </c:pt>
              </c:strCache>
            </c:strRef>
          </c:tx>
          <c:spPr>
            <a:ln w="22225" cap="rnd">
              <a:solidFill>
                <a:schemeClr val="accent2"/>
              </a:solidFill>
            </a:ln>
            <a:effectLst>
              <a:glow rad="139700">
                <a:schemeClr val="accent2">
                  <a:satMod val="175000"/>
                  <a:alpha val="14000"/>
                </a:schemeClr>
              </a:glow>
            </a:effectLst>
          </c:spPr>
          <c:marker>
            <c:symbol val="none"/>
          </c:marker>
          <c:xVal>
            <c:numRef>
              <c:f>' Problem #8'!$A$8:$A$21</c:f>
              <c:numCache>
                <c:formatCode>General</c:formatCod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numCache>
            </c:numRef>
          </c:xVal>
          <c:yVal>
            <c:numRef>
              <c:f>' Problem #8'!$C$8:$C$21</c:f>
              <c:numCache>
                <c:formatCode>0.00%</c:formatCode>
                <c:ptCount val="14"/>
                <c:pt idx="1">
                  <c:v>0.48226809141390675</c:v>
                </c:pt>
                <c:pt idx="2">
                  <c:v>-7.4608955223880641E-2</c:v>
                </c:pt>
                <c:pt idx="3">
                  <c:v>-0.19356399553557024</c:v>
                </c:pt>
                <c:pt idx="4">
                  <c:v>8.5999999999999993E-2</c:v>
                </c:pt>
                <c:pt idx="5">
                  <c:v>-9.6500920810313071E-2</c:v>
                </c:pt>
                <c:pt idx="6">
                  <c:v>0.14145943742356298</c:v>
                </c:pt>
                <c:pt idx="7">
                  <c:v>-0.12675</c:v>
                </c:pt>
                <c:pt idx="8">
                  <c:v>9.0609791010592619E-2</c:v>
                </c:pt>
                <c:pt idx="9">
                  <c:v>0.19993249957812237</c:v>
                </c:pt>
                <c:pt idx="10">
                  <c:v>-0.22492030751921996</c:v>
                </c:pt>
                <c:pt idx="11">
                  <c:v>8.8665779605661063E-2</c:v>
                </c:pt>
                <c:pt idx="12">
                  <c:v>3.3900000000000111E-2</c:v>
                </c:pt>
              </c:numCache>
            </c:numRef>
          </c:yVal>
          <c:smooth val="0"/>
          <c:extLst>
            <c:ext xmlns:c16="http://schemas.microsoft.com/office/drawing/2014/chart" uri="{C3380CC4-5D6E-409C-BE32-E72D297353CC}">
              <c16:uniqueId val="{00000001-464E-4C23-A482-4DDC46453988}"/>
            </c:ext>
          </c:extLst>
        </c:ser>
        <c:ser>
          <c:idx val="2"/>
          <c:order val="2"/>
          <c:tx>
            <c:strRef>
              <c:f>' Problem #8'!$D$7</c:f>
              <c:strCache>
                <c:ptCount val="1"/>
                <c:pt idx="0">
                  <c:v>Moving Average</c:v>
                </c:pt>
              </c:strCache>
            </c:strRef>
          </c:tx>
          <c:spPr>
            <a:ln w="22225" cap="rnd">
              <a:solidFill>
                <a:schemeClr val="accent3"/>
              </a:solidFill>
            </a:ln>
            <a:effectLst>
              <a:glow rad="139700">
                <a:schemeClr val="accent3">
                  <a:satMod val="175000"/>
                  <a:alpha val="14000"/>
                </a:schemeClr>
              </a:glow>
            </a:effectLst>
          </c:spPr>
          <c:marker>
            <c:symbol val="none"/>
          </c:marker>
          <c:xVal>
            <c:numRef>
              <c:f>' Problem #8'!$A$8:$A$21</c:f>
              <c:numCache>
                <c:formatCode>General</c:formatCod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numCache>
            </c:numRef>
          </c:xVal>
          <c:yVal>
            <c:numRef>
              <c:f>' Problem #8'!$D$8:$D$21</c:f>
              <c:numCache>
                <c:formatCode>_("$"* #,##0.00_);_("$"* \(#,##0.00\);_("$"* "-"??_);_(@_)</c:formatCode>
                <c:ptCount val="14"/>
                <c:pt idx="1">
                  <c:v>14025.125</c:v>
                </c:pt>
                <c:pt idx="2">
                  <c:v>16125.15</c:v>
                </c:pt>
                <c:pt idx="3">
                  <c:v>14000.15</c:v>
                </c:pt>
                <c:pt idx="4">
                  <c:v>13037.5</c:v>
                </c:pt>
                <c:pt idx="5">
                  <c:v>12920</c:v>
                </c:pt>
                <c:pt idx="6">
                  <c:v>13132.5</c:v>
                </c:pt>
                <c:pt idx="7">
                  <c:v>13112.75</c:v>
                </c:pt>
                <c:pt idx="8">
                  <c:v>12779.375</c:v>
                </c:pt>
                <c:pt idx="9">
                  <c:v>14666.125</c:v>
                </c:pt>
                <c:pt idx="10">
                  <c:v>14199.75</c:v>
                </c:pt>
                <c:pt idx="11">
                  <c:v>12950.25</c:v>
                </c:pt>
                <c:pt idx="12">
                  <c:v>13728.825000000001</c:v>
                </c:pt>
                <c:pt idx="13">
                  <c:v>14194.232167500002</c:v>
                </c:pt>
              </c:numCache>
            </c:numRef>
          </c:yVal>
          <c:smooth val="0"/>
          <c:extLst>
            <c:ext xmlns:c16="http://schemas.microsoft.com/office/drawing/2014/chart" uri="{C3380CC4-5D6E-409C-BE32-E72D297353CC}">
              <c16:uniqueId val="{00000002-464E-4C23-A482-4DDC46453988}"/>
            </c:ext>
          </c:extLst>
        </c:ser>
        <c:dLbls>
          <c:showLegendKey val="0"/>
          <c:showVal val="0"/>
          <c:showCatName val="0"/>
          <c:showSerName val="0"/>
          <c:showPercent val="0"/>
          <c:showBubbleSize val="0"/>
        </c:dLbls>
        <c:axId val="875286319"/>
        <c:axId val="733816143"/>
      </c:scatterChart>
      <c:valAx>
        <c:axId val="875286319"/>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3816143"/>
        <c:crosses val="autoZero"/>
        <c:crossBetween val="midCat"/>
      </c:valAx>
      <c:valAx>
        <c:axId val="733816143"/>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crossAx val="87528631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161925</xdr:colOff>
      <xdr:row>6</xdr:row>
      <xdr:rowOff>95250</xdr:rowOff>
    </xdr:from>
    <xdr:to>
      <xdr:col>3</xdr:col>
      <xdr:colOff>962025</xdr:colOff>
      <xdr:row>16</xdr:row>
      <xdr:rowOff>190500</xdr:rowOff>
    </xdr:to>
    <xdr:cxnSp macro="">
      <xdr:nvCxnSpPr>
        <xdr:cNvPr id="3" name="Straight Arrow Connector 2">
          <a:extLst>
            <a:ext uri="{FF2B5EF4-FFF2-40B4-BE49-F238E27FC236}">
              <a16:creationId xmlns:a16="http://schemas.microsoft.com/office/drawing/2014/main" id="{FDB93B96-82B7-428B-A9BC-3F7D16766FB9}"/>
            </a:ext>
          </a:extLst>
        </xdr:cNvPr>
        <xdr:cNvCxnSpPr/>
      </xdr:nvCxnSpPr>
      <xdr:spPr>
        <a:xfrm>
          <a:off x="5010150" y="1476375"/>
          <a:ext cx="800100" cy="21812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419100</xdr:colOff>
      <xdr:row>42</xdr:row>
      <xdr:rowOff>28575</xdr:rowOff>
    </xdr:from>
    <xdr:to>
      <xdr:col>3</xdr:col>
      <xdr:colOff>314325</xdr:colOff>
      <xdr:row>56</xdr:row>
      <xdr:rowOff>104775</xdr:rowOff>
    </xdr:to>
    <xdr:graphicFrame macro="">
      <xdr:nvGraphicFramePr>
        <xdr:cNvPr id="2" name="Chart 1">
          <a:extLst>
            <a:ext uri="{FF2B5EF4-FFF2-40B4-BE49-F238E27FC236}">
              <a16:creationId xmlns:a16="http://schemas.microsoft.com/office/drawing/2014/main" id="{8C8B6065-379C-4DC1-B8AF-0002E2D80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1752600</xdr:colOff>
      <xdr:row>6</xdr:row>
      <xdr:rowOff>361950</xdr:rowOff>
    </xdr:from>
    <xdr:to>
      <xdr:col>11</xdr:col>
      <xdr:colOff>400049</xdr:colOff>
      <xdr:row>24</xdr:row>
      <xdr:rowOff>171449</xdr:rowOff>
    </xdr:to>
    <xdr:graphicFrame macro="">
      <xdr:nvGraphicFramePr>
        <xdr:cNvPr id="3" name="Chart 2">
          <a:extLst>
            <a:ext uri="{FF2B5EF4-FFF2-40B4-BE49-F238E27FC236}">
              <a16:creationId xmlns:a16="http://schemas.microsoft.com/office/drawing/2014/main" id="{0B4D08BD-61A1-4DB8-BA42-9D89CA941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52</xdr:row>
      <xdr:rowOff>0</xdr:rowOff>
    </xdr:from>
    <xdr:to>
      <xdr:col>0</xdr:col>
      <xdr:colOff>1282700</xdr:colOff>
      <xdr:row>52</xdr:row>
      <xdr:rowOff>0</xdr:rowOff>
    </xdr:to>
    <xdr:pic>
      <xdr:nvPicPr>
        <xdr:cNvPr id="2" name="Picture 1" descr="page4image6584">
          <a:extLst>
            <a:ext uri="{FF2B5EF4-FFF2-40B4-BE49-F238E27FC236}">
              <a16:creationId xmlns:a16="http://schemas.microsoft.com/office/drawing/2014/main" id="{252FA892-2740-6245-AA27-90EDF238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258300"/>
          <a:ext cx="1282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0</xdr:col>
      <xdr:colOff>482600</xdr:colOff>
      <xdr:row>52</xdr:row>
      <xdr:rowOff>0</xdr:rowOff>
    </xdr:to>
    <xdr:pic>
      <xdr:nvPicPr>
        <xdr:cNvPr id="3" name="Picture 2" descr="page4image6744">
          <a:extLst>
            <a:ext uri="{FF2B5EF4-FFF2-40B4-BE49-F238E27FC236}">
              <a16:creationId xmlns:a16="http://schemas.microsoft.com/office/drawing/2014/main" id="{69E36FDC-178D-8D4E-81DC-009323272D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448800"/>
          <a:ext cx="482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466725</xdr:colOff>
      <xdr:row>51</xdr:row>
      <xdr:rowOff>123825</xdr:rowOff>
    </xdr:from>
    <xdr:to>
      <xdr:col>9</xdr:col>
      <xdr:colOff>66675</xdr:colOff>
      <xdr:row>51</xdr:row>
      <xdr:rowOff>123825</xdr:rowOff>
    </xdr:to>
    <xdr:pic>
      <xdr:nvPicPr>
        <xdr:cNvPr id="4" name="Picture 3" descr="page4image6904">
          <a:extLst>
            <a:ext uri="{FF2B5EF4-FFF2-40B4-BE49-F238E27FC236}">
              <a16:creationId xmlns:a16="http://schemas.microsoft.com/office/drawing/2014/main" id="{9F826216-EF0F-574A-9021-EEC97BC475B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858250" y="12401550"/>
          <a:ext cx="89535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32"/>
  <sheetViews>
    <sheetView showGridLines="0" topLeftCell="A12" workbookViewId="0">
      <selection activeCell="E39" sqref="E39"/>
    </sheetView>
  </sheetViews>
  <sheetFormatPr baseColWidth="10" defaultColWidth="8.83203125" defaultRowHeight="13"/>
  <cols>
    <col min="1" max="1" width="11.1640625" style="54" bestFit="1" customWidth="1"/>
    <col min="2" max="8" width="8.83203125" style="54"/>
    <col min="9" max="9" width="38.1640625" style="54" customWidth="1"/>
    <col min="10" max="16384" width="8.83203125" style="54"/>
  </cols>
  <sheetData>
    <row r="1" spans="2:11" ht="14" thickBot="1"/>
    <row r="2" spans="2:11" ht="14" thickTop="1">
      <c r="B2" s="55"/>
      <c r="C2" s="56"/>
      <c r="D2" s="56"/>
      <c r="E2" s="56"/>
      <c r="F2" s="56"/>
      <c r="G2" s="56"/>
      <c r="H2" s="56"/>
      <c r="I2" s="56"/>
      <c r="J2" s="56"/>
      <c r="K2" s="57"/>
    </row>
    <row r="3" spans="2:11">
      <c r="B3" s="58"/>
      <c r="K3" s="59"/>
    </row>
    <row r="4" spans="2:11" ht="18">
      <c r="B4" s="269" t="s">
        <v>101</v>
      </c>
      <c r="C4" s="270"/>
      <c r="D4" s="270"/>
      <c r="E4" s="270"/>
      <c r="F4" s="270"/>
      <c r="G4" s="270"/>
      <c r="H4" s="270"/>
      <c r="I4" s="270"/>
      <c r="J4" s="270"/>
      <c r="K4" s="271"/>
    </row>
    <row r="5" spans="2:11" ht="18">
      <c r="B5" s="269" t="s">
        <v>102</v>
      </c>
      <c r="C5" s="270"/>
      <c r="D5" s="270"/>
      <c r="E5" s="270"/>
      <c r="F5" s="270"/>
      <c r="G5" s="270"/>
      <c r="H5" s="270"/>
      <c r="I5" s="270"/>
      <c r="J5" s="270"/>
      <c r="K5" s="271"/>
    </row>
    <row r="6" spans="2:11" ht="18">
      <c r="B6" s="269" t="s">
        <v>114</v>
      </c>
      <c r="C6" s="270"/>
      <c r="D6" s="270"/>
      <c r="E6" s="270"/>
      <c r="F6" s="270"/>
      <c r="G6" s="270"/>
      <c r="H6" s="270"/>
      <c r="I6" s="270"/>
      <c r="J6" s="270"/>
      <c r="K6" s="271"/>
    </row>
    <row r="7" spans="2:11" ht="18">
      <c r="B7" s="269" t="s">
        <v>113</v>
      </c>
      <c r="C7" s="270"/>
      <c r="D7" s="270"/>
      <c r="E7" s="270"/>
      <c r="F7" s="270"/>
      <c r="G7" s="270"/>
      <c r="H7" s="270"/>
      <c r="I7" s="270"/>
      <c r="J7" s="270"/>
      <c r="K7" s="271"/>
    </row>
    <row r="8" spans="2:11" ht="18">
      <c r="B8" s="269" t="s">
        <v>131</v>
      </c>
      <c r="C8" s="270"/>
      <c r="D8" s="270"/>
      <c r="E8" s="270"/>
      <c r="F8" s="270"/>
      <c r="G8" s="270"/>
      <c r="H8" s="270"/>
      <c r="I8" s="270"/>
      <c r="J8" s="270"/>
      <c r="K8" s="271"/>
    </row>
    <row r="9" spans="2:11" ht="18">
      <c r="B9" s="60"/>
      <c r="C9" s="61"/>
      <c r="D9" s="61"/>
      <c r="E9" s="61"/>
      <c r="F9" s="61"/>
      <c r="G9" s="61"/>
      <c r="H9" s="61"/>
      <c r="I9" s="61"/>
      <c r="K9" s="59"/>
    </row>
    <row r="10" spans="2:11" ht="18">
      <c r="B10" s="269" t="s">
        <v>112</v>
      </c>
      <c r="C10" s="270"/>
      <c r="D10" s="270"/>
      <c r="E10" s="270"/>
      <c r="F10" s="270"/>
      <c r="G10" s="270"/>
      <c r="H10" s="270"/>
      <c r="I10" s="270"/>
      <c r="J10" s="270"/>
      <c r="K10" s="271"/>
    </row>
    <row r="11" spans="2:11" ht="18">
      <c r="B11" s="60"/>
      <c r="C11" s="61"/>
      <c r="D11" s="61"/>
      <c r="E11" s="61"/>
      <c r="F11" s="61"/>
      <c r="G11" s="61"/>
      <c r="H11" s="61"/>
      <c r="I11" s="61"/>
      <c r="K11" s="59"/>
    </row>
    <row r="12" spans="2:11" ht="18">
      <c r="B12" s="269" t="s">
        <v>103</v>
      </c>
      <c r="C12" s="270"/>
      <c r="D12" s="270"/>
      <c r="E12" s="270"/>
      <c r="F12" s="270"/>
      <c r="G12" s="270"/>
      <c r="H12" s="270"/>
      <c r="I12" s="270"/>
      <c r="J12" s="270"/>
      <c r="K12" s="271"/>
    </row>
    <row r="13" spans="2:11" ht="18">
      <c r="B13" s="272" t="s">
        <v>132</v>
      </c>
      <c r="C13" s="273"/>
      <c r="D13" s="273"/>
      <c r="E13" s="273"/>
      <c r="F13" s="273"/>
      <c r="G13" s="273"/>
      <c r="H13" s="273"/>
      <c r="I13" s="273"/>
      <c r="J13" s="273"/>
      <c r="K13" s="274"/>
    </row>
    <row r="14" spans="2:11">
      <c r="B14" s="58"/>
      <c r="K14" s="59"/>
    </row>
    <row r="15" spans="2:11" ht="12.75" customHeight="1">
      <c r="B15" s="58"/>
      <c r="K15" s="59"/>
    </row>
    <row r="16" spans="2:11" ht="12.75" customHeight="1">
      <c r="B16" s="58"/>
      <c r="K16" s="59"/>
    </row>
    <row r="17" spans="2:11" ht="21.75" customHeight="1">
      <c r="B17" s="275" t="s">
        <v>133</v>
      </c>
      <c r="C17" s="276"/>
      <c r="D17" s="276"/>
      <c r="E17" s="276"/>
      <c r="F17" s="276"/>
      <c r="G17" s="276"/>
      <c r="H17" s="276"/>
      <c r="I17" s="276"/>
      <c r="J17" s="276"/>
      <c r="K17" s="277"/>
    </row>
    <row r="18" spans="2:11" ht="15" customHeight="1">
      <c r="B18" s="278"/>
      <c r="C18" s="279"/>
      <c r="D18" s="279"/>
      <c r="E18" s="279"/>
      <c r="F18" s="279"/>
      <c r="G18" s="279"/>
      <c r="H18" s="279"/>
      <c r="I18" s="279"/>
      <c r="J18" s="279"/>
      <c r="K18" s="280"/>
    </row>
    <row r="19" spans="2:11">
      <c r="B19" s="58"/>
      <c r="K19" s="59"/>
    </row>
    <row r="20" spans="2:11" ht="16">
      <c r="B20" s="62" t="s">
        <v>104</v>
      </c>
      <c r="C20" s="63"/>
      <c r="D20" s="63"/>
      <c r="E20" s="63"/>
      <c r="F20" s="63"/>
      <c r="G20" s="63"/>
      <c r="H20" s="63"/>
      <c r="I20" s="63"/>
      <c r="J20" s="63"/>
      <c r="K20" s="64"/>
    </row>
    <row r="21" spans="2:11" ht="13" customHeight="1">
      <c r="B21" s="62" t="s">
        <v>105</v>
      </c>
      <c r="C21" s="63"/>
      <c r="D21" s="63"/>
      <c r="E21" s="63"/>
      <c r="F21" s="63"/>
      <c r="G21" s="63"/>
      <c r="H21" s="63"/>
      <c r="I21" s="63"/>
      <c r="J21" s="63"/>
      <c r="K21" s="64"/>
    </row>
    <row r="22" spans="2:11" ht="17" thickBot="1">
      <c r="B22" s="148" t="s">
        <v>207</v>
      </c>
      <c r="C22" s="149"/>
      <c r="D22" s="149"/>
      <c r="E22" s="149"/>
      <c r="F22" s="149"/>
      <c r="G22" s="150"/>
      <c r="H22" s="150"/>
      <c r="I22" s="150"/>
      <c r="J22" s="63"/>
      <c r="K22" s="64"/>
    </row>
    <row r="23" spans="2:11" ht="17" thickTop="1">
      <c r="B23" s="62" t="s">
        <v>106</v>
      </c>
      <c r="C23" s="63"/>
      <c r="D23" s="63"/>
      <c r="E23" s="63"/>
      <c r="F23" s="63"/>
      <c r="G23" s="63"/>
      <c r="H23" s="63"/>
      <c r="I23" s="63"/>
      <c r="J23" s="63"/>
      <c r="K23" s="64"/>
    </row>
    <row r="24" spans="2:11" ht="16">
      <c r="B24" s="62" t="s">
        <v>107</v>
      </c>
      <c r="C24" s="63"/>
      <c r="D24" s="63"/>
      <c r="E24" s="63"/>
      <c r="F24" s="63"/>
      <c r="G24" s="63"/>
      <c r="H24" s="63"/>
      <c r="I24" s="63"/>
      <c r="J24" s="63"/>
      <c r="K24" s="64"/>
    </row>
    <row r="25" spans="2:11" ht="25">
      <c r="B25" s="142" t="s">
        <v>111</v>
      </c>
      <c r="C25" s="143"/>
      <c r="D25" s="143"/>
      <c r="E25" s="143"/>
      <c r="F25" s="143"/>
      <c r="G25" s="144"/>
      <c r="H25" s="145"/>
      <c r="I25" s="145"/>
      <c r="J25" s="63"/>
      <c r="K25" s="64"/>
    </row>
    <row r="26" spans="2:11" ht="16">
      <c r="B26" s="62"/>
      <c r="C26" s="63"/>
      <c r="D26" s="63"/>
      <c r="E26" s="63"/>
      <c r="F26" s="63"/>
      <c r="G26" s="63"/>
      <c r="H26" s="63"/>
      <c r="I26" s="63"/>
      <c r="J26" s="63"/>
      <c r="K26" s="64"/>
    </row>
    <row r="27" spans="2:11" ht="16">
      <c r="B27" s="62" t="s">
        <v>108</v>
      </c>
      <c r="C27" s="63"/>
      <c r="D27" s="63"/>
      <c r="E27" s="63"/>
      <c r="F27" s="63"/>
      <c r="G27" s="63"/>
      <c r="H27" s="63"/>
      <c r="I27" s="63"/>
      <c r="J27" s="63"/>
      <c r="K27" s="64"/>
    </row>
    <row r="28" spans="2:11" ht="17" thickBot="1">
      <c r="B28" s="65" t="s">
        <v>109</v>
      </c>
      <c r="C28" s="66"/>
      <c r="D28" s="66"/>
      <c r="E28" s="66"/>
      <c r="F28" s="66"/>
      <c r="G28" s="66"/>
      <c r="H28" s="66"/>
      <c r="I28" s="66"/>
      <c r="J28" s="66"/>
      <c r="K28" s="67"/>
    </row>
    <row r="29" spans="2:11" ht="14" thickTop="1"/>
    <row r="32" spans="2:11" ht="16">
      <c r="D32" s="69"/>
    </row>
  </sheetData>
  <mergeCells count="9">
    <mergeCell ref="B12:K12"/>
    <mergeCell ref="B13:K13"/>
    <mergeCell ref="B17:K18"/>
    <mergeCell ref="B4:K4"/>
    <mergeCell ref="B5:K5"/>
    <mergeCell ref="B6:K6"/>
    <mergeCell ref="B7:K7"/>
    <mergeCell ref="B8:K8"/>
    <mergeCell ref="B10:K10"/>
  </mergeCells>
  <pageMargins left="0.75" right="0.75" top="1" bottom="1" header="0.5" footer="0.5"/>
  <pageSetup orientation="portrait" horizontalDpi="4294967292" verticalDpi="429496729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H41"/>
  <sheetViews>
    <sheetView workbookViewId="0"/>
  </sheetViews>
  <sheetFormatPr baseColWidth="10" defaultColWidth="8.83203125" defaultRowHeight="15"/>
  <cols>
    <col min="1" max="1" width="13.6640625" customWidth="1"/>
    <col min="2" max="2" width="14.33203125" customWidth="1"/>
    <col min="3" max="3" width="12.83203125" customWidth="1"/>
    <col min="4" max="4" width="15.5" customWidth="1"/>
    <col min="5" max="5" width="29.33203125" customWidth="1"/>
    <col min="6" max="6" width="11.5" bestFit="1" customWidth="1"/>
    <col min="7" max="7" width="18.5" customWidth="1"/>
  </cols>
  <sheetData>
    <row r="1" spans="1:8" ht="24" thickBot="1">
      <c r="A1" s="90" t="s">
        <v>331</v>
      </c>
      <c r="B1" s="27"/>
      <c r="D1" s="316"/>
      <c r="E1" s="317"/>
      <c r="F1" s="318"/>
      <c r="G1" s="318"/>
      <c r="H1" s="317"/>
    </row>
    <row r="2" spans="1:8" ht="16" thickTop="1"/>
    <row r="3" spans="1:8" ht="16">
      <c r="A3" s="100" t="s">
        <v>199</v>
      </c>
      <c r="B3" s="100"/>
      <c r="D3" s="100"/>
      <c r="E3" s="100"/>
    </row>
    <row r="7" spans="1:8" ht="34">
      <c r="A7" s="166" t="s">
        <v>70</v>
      </c>
      <c r="B7" s="166" t="s">
        <v>71</v>
      </c>
      <c r="C7" s="172" t="s">
        <v>239</v>
      </c>
      <c r="D7" s="172" t="s">
        <v>240</v>
      </c>
    </row>
    <row r="8" spans="1:8" ht="16">
      <c r="A8" s="168">
        <v>2007</v>
      </c>
      <c r="B8" s="169">
        <v>11300.25</v>
      </c>
      <c r="C8" s="167"/>
      <c r="D8" s="167"/>
    </row>
    <row r="9" spans="1:8" ht="16">
      <c r="A9" s="168">
        <f>+A8+1</f>
        <v>2008</v>
      </c>
      <c r="B9" s="169">
        <v>16750</v>
      </c>
      <c r="C9" s="173">
        <f>SUM(B9-B8)/B8</f>
        <v>0.48226809141390675</v>
      </c>
      <c r="D9" s="174">
        <f t="shared" ref="D9:D18" si="0">SUM(B8+B9)/2</f>
        <v>14025.125</v>
      </c>
    </row>
    <row r="10" spans="1:8" ht="16">
      <c r="A10" s="168">
        <f t="shared" ref="A10:A19" si="1">+A9+1</f>
        <v>2009</v>
      </c>
      <c r="B10" s="169">
        <v>15500.3</v>
      </c>
      <c r="C10" s="173">
        <f>SUM(B10-B9)/B9</f>
        <v>-7.4608955223880641E-2</v>
      </c>
      <c r="D10" s="174">
        <f t="shared" si="0"/>
        <v>16125.15</v>
      </c>
    </row>
    <row r="11" spans="1:8" ht="16">
      <c r="A11" s="168">
        <f t="shared" si="1"/>
        <v>2010</v>
      </c>
      <c r="B11" s="169">
        <v>12500</v>
      </c>
      <c r="C11" s="173">
        <f t="shared" ref="C11:C19" si="2">SUM(B11-B10)/B10</f>
        <v>-0.19356399553557024</v>
      </c>
      <c r="D11" s="174">
        <f t="shared" si="0"/>
        <v>14000.15</v>
      </c>
    </row>
    <row r="12" spans="1:8" ht="16">
      <c r="A12" s="168">
        <f t="shared" si="1"/>
        <v>2011</v>
      </c>
      <c r="B12" s="169">
        <v>13575</v>
      </c>
      <c r="C12" s="173">
        <f t="shared" si="2"/>
        <v>8.5999999999999993E-2</v>
      </c>
      <c r="D12" s="174">
        <f t="shared" si="0"/>
        <v>13037.5</v>
      </c>
    </row>
    <row r="13" spans="1:8" ht="16">
      <c r="A13" s="168">
        <f t="shared" si="1"/>
        <v>2012</v>
      </c>
      <c r="B13" s="169">
        <v>12265</v>
      </c>
      <c r="C13" s="173">
        <f t="shared" si="2"/>
        <v>-9.6500920810313071E-2</v>
      </c>
      <c r="D13" s="174">
        <f t="shared" si="0"/>
        <v>12920</v>
      </c>
    </row>
    <row r="14" spans="1:8" ht="16">
      <c r="A14" s="168">
        <f t="shared" si="1"/>
        <v>2013</v>
      </c>
      <c r="B14" s="169">
        <v>14000</v>
      </c>
      <c r="C14" s="173">
        <f t="shared" si="2"/>
        <v>0.14145943742356298</v>
      </c>
      <c r="D14" s="174">
        <f t="shared" si="0"/>
        <v>13132.5</v>
      </c>
    </row>
    <row r="15" spans="1:8" ht="16">
      <c r="A15" s="168">
        <f t="shared" si="1"/>
        <v>2014</v>
      </c>
      <c r="B15" s="169">
        <v>12225.5</v>
      </c>
      <c r="C15" s="173">
        <f t="shared" si="2"/>
        <v>-0.12675</v>
      </c>
      <c r="D15" s="174">
        <f t="shared" si="0"/>
        <v>13112.75</v>
      </c>
    </row>
    <row r="16" spans="1:8" ht="16">
      <c r="A16" s="168">
        <f t="shared" si="1"/>
        <v>2015</v>
      </c>
      <c r="B16" s="169">
        <v>13333.25</v>
      </c>
      <c r="C16" s="173">
        <f t="shared" si="2"/>
        <v>9.0609791010592619E-2</v>
      </c>
      <c r="D16" s="174">
        <f t="shared" si="0"/>
        <v>12779.375</v>
      </c>
    </row>
    <row r="17" spans="1:4" ht="16">
      <c r="A17" s="168">
        <f t="shared" si="1"/>
        <v>2016</v>
      </c>
      <c r="B17" s="169">
        <v>15999</v>
      </c>
      <c r="C17" s="173">
        <f t="shared" si="2"/>
        <v>0.19993249957812237</v>
      </c>
      <c r="D17" s="174">
        <f t="shared" si="0"/>
        <v>14666.125</v>
      </c>
    </row>
    <row r="18" spans="1:4" ht="16">
      <c r="A18" s="168">
        <f t="shared" si="1"/>
        <v>2017</v>
      </c>
      <c r="B18" s="169">
        <v>12400.5</v>
      </c>
      <c r="C18" s="173">
        <f t="shared" si="2"/>
        <v>-0.22492030751921996</v>
      </c>
      <c r="D18" s="174">
        <f t="shared" si="0"/>
        <v>14199.75</v>
      </c>
    </row>
    <row r="19" spans="1:4" ht="16">
      <c r="A19" s="168">
        <f t="shared" si="1"/>
        <v>2018</v>
      </c>
      <c r="B19" s="169">
        <v>13500</v>
      </c>
      <c r="C19" s="173">
        <f t="shared" si="2"/>
        <v>8.8665779605661063E-2</v>
      </c>
      <c r="D19" s="174">
        <f>SUM(B18+B19)/2</f>
        <v>12950.25</v>
      </c>
    </row>
    <row r="20" spans="1:4" ht="16">
      <c r="A20" s="170">
        <v>2019</v>
      </c>
      <c r="B20" s="171">
        <f>SUM(B19*1.0339)</f>
        <v>13957.650000000001</v>
      </c>
      <c r="C20" s="173">
        <f>SUM(B20-B19)/B19</f>
        <v>3.3900000000000111E-2</v>
      </c>
      <c r="D20" s="174">
        <f>SUM(B19:B20)/2</f>
        <v>13728.825000000001</v>
      </c>
    </row>
    <row r="21" spans="1:4" ht="16">
      <c r="A21" s="170">
        <v>2020</v>
      </c>
      <c r="B21" s="171">
        <f>SUM(B20*1.0339)</f>
        <v>14430.814335000003</v>
      </c>
      <c r="C21" s="167"/>
      <c r="D21" s="174">
        <f t="shared" ref="D21" si="3">SUM(B20:B21)/2</f>
        <v>14194.232167500002</v>
      </c>
    </row>
    <row r="23" spans="1:4">
      <c r="A23" s="163" t="s">
        <v>237</v>
      </c>
      <c r="B23" s="163"/>
      <c r="C23" s="164">
        <f>AVERAGE(C9:C19)</f>
        <v>3.3871947267532891E-2</v>
      </c>
    </row>
    <row r="24" spans="1:4">
      <c r="A24" s="163" t="s">
        <v>238</v>
      </c>
      <c r="B24" s="163"/>
      <c r="C24" s="165">
        <f>SUM(B19*1.0339)</f>
        <v>13957.650000000001</v>
      </c>
    </row>
    <row r="41" spans="1:5" s="5" customFormat="1">
      <c r="A41"/>
      <c r="B41"/>
      <c r="C41"/>
      <c r="D41"/>
      <c r="E41"/>
    </row>
  </sheetData>
  <pageMargins left="0.7" right="0.7" top="0.75" bottom="0.75" header="0.3" footer="0.3"/>
  <pageSetup orientation="portrait" horizontalDpi="4294967292" verticalDpi="4294967292"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I85"/>
  <sheetViews>
    <sheetView zoomScale="117" workbookViewId="0"/>
  </sheetViews>
  <sheetFormatPr baseColWidth="10" defaultColWidth="8.83203125" defaultRowHeight="15"/>
  <cols>
    <col min="1" max="1" width="33" customWidth="1"/>
    <col min="2" max="2" width="14" customWidth="1"/>
    <col min="3" max="3" width="36.33203125" bestFit="1" customWidth="1"/>
    <col min="4" max="4" width="28" customWidth="1"/>
    <col min="5" max="5" width="26.33203125" customWidth="1"/>
    <col min="6" max="6" width="9.1640625" bestFit="1" customWidth="1"/>
    <col min="9" max="9" width="12.1640625" customWidth="1"/>
    <col min="10" max="10" width="9.1640625" bestFit="1" customWidth="1"/>
    <col min="12" max="12" width="10.1640625" bestFit="1" customWidth="1"/>
  </cols>
  <sheetData>
    <row r="1" spans="1:7" ht="18" thickBot="1">
      <c r="A1" s="90" t="s">
        <v>330</v>
      </c>
    </row>
    <row r="2" spans="1:7" ht="24" thickTop="1">
      <c r="A2" t="s">
        <v>187</v>
      </c>
      <c r="D2" s="316"/>
      <c r="E2" s="317"/>
      <c r="F2" s="318"/>
      <c r="G2" s="318"/>
    </row>
    <row r="3" spans="1:7">
      <c r="A3" t="s">
        <v>122</v>
      </c>
    </row>
    <row r="4" spans="1:7">
      <c r="A4" t="s">
        <v>127</v>
      </c>
    </row>
    <row r="5" spans="1:7">
      <c r="A5" t="s">
        <v>128</v>
      </c>
    </row>
    <row r="6" spans="1:7">
      <c r="A6" t="s">
        <v>206</v>
      </c>
    </row>
    <row r="8" spans="1:7">
      <c r="A8" t="s">
        <v>124</v>
      </c>
      <c r="B8" s="68">
        <v>75200</v>
      </c>
    </row>
    <row r="9" spans="1:7">
      <c r="A9" t="s">
        <v>125</v>
      </c>
      <c r="B9" s="68">
        <v>192900</v>
      </c>
    </row>
    <row r="10" spans="1:7">
      <c r="A10" t="s">
        <v>98</v>
      </c>
      <c r="B10" s="68">
        <v>293000</v>
      </c>
    </row>
    <row r="11" spans="1:7" ht="23">
      <c r="A11" t="s">
        <v>52</v>
      </c>
      <c r="B11" s="68">
        <v>120000</v>
      </c>
      <c r="F11" s="262"/>
    </row>
    <row r="12" spans="1:7" ht="23">
      <c r="A12" t="s">
        <v>100</v>
      </c>
      <c r="B12" s="68">
        <v>200000</v>
      </c>
      <c r="F12" s="262"/>
    </row>
    <row r="13" spans="1:7" ht="23">
      <c r="A13" t="s">
        <v>12</v>
      </c>
      <c r="B13" s="68">
        <v>1700000</v>
      </c>
      <c r="F13" s="262"/>
    </row>
    <row r="14" spans="1:7">
      <c r="A14" t="s">
        <v>123</v>
      </c>
      <c r="B14" s="68">
        <v>225600</v>
      </c>
    </row>
    <row r="15" spans="1:7">
      <c r="A15" t="s">
        <v>126</v>
      </c>
      <c r="B15" s="68">
        <v>180000</v>
      </c>
    </row>
    <row r="16" spans="1:7">
      <c r="A16" t="s">
        <v>120</v>
      </c>
      <c r="B16" s="68">
        <v>2500000</v>
      </c>
    </row>
    <row r="17" spans="1:7">
      <c r="A17" t="s">
        <v>18</v>
      </c>
      <c r="B17" s="68">
        <v>85000</v>
      </c>
    </row>
    <row r="18" spans="1:7" ht="16" customHeight="1"/>
    <row r="19" spans="1:7" ht="16">
      <c r="B19" t="s">
        <v>280</v>
      </c>
      <c r="C19" s="146" t="s">
        <v>200</v>
      </c>
      <c r="D19" s="147">
        <v>2017</v>
      </c>
      <c r="E19" s="264" t="s">
        <v>324</v>
      </c>
    </row>
    <row r="20" spans="1:7">
      <c r="C20" s="5" t="s">
        <v>188</v>
      </c>
      <c r="D20" s="5"/>
    </row>
    <row r="21" spans="1:7">
      <c r="B21" s="68"/>
      <c r="C21" t="s">
        <v>189</v>
      </c>
      <c r="D21" s="124">
        <v>150118</v>
      </c>
      <c r="E21" s="247" t="s">
        <v>318</v>
      </c>
      <c r="F21" s="263">
        <f>D37/D26</f>
        <v>2.2043899540531476E-2</v>
      </c>
      <c r="G21" t="s">
        <v>319</v>
      </c>
    </row>
    <row r="22" spans="1:7">
      <c r="B22" s="68"/>
      <c r="C22" t="s">
        <v>190</v>
      </c>
      <c r="D22" s="123">
        <v>2000</v>
      </c>
      <c r="E22" s="247" t="s">
        <v>320</v>
      </c>
      <c r="F22" s="263">
        <f>D23/B58</f>
        <v>5.2198336622497885E-2</v>
      </c>
      <c r="G22" s="247" t="s">
        <v>323</v>
      </c>
    </row>
    <row r="23" spans="1:7">
      <c r="B23" s="68"/>
      <c r="C23" t="s">
        <v>191</v>
      </c>
      <c r="D23" s="10">
        <f>+D21-D22</f>
        <v>148118</v>
      </c>
      <c r="E23" s="247" t="s">
        <v>321</v>
      </c>
      <c r="F23" s="263">
        <f>B58/B69</f>
        <v>11.754763877381938</v>
      </c>
      <c r="G23" s="247" t="s">
        <v>322</v>
      </c>
    </row>
    <row r="24" spans="1:7">
      <c r="B24" s="68"/>
      <c r="C24" t="s">
        <v>192</v>
      </c>
      <c r="D24" s="122">
        <v>18782</v>
      </c>
      <c r="F24" s="265">
        <f>F21+F22+F23</f>
        <v>11.829006113544967</v>
      </c>
    </row>
    <row r="25" spans="1:7">
      <c r="B25" s="68"/>
      <c r="C25" t="s">
        <v>38</v>
      </c>
      <c r="D25" s="123">
        <v>3079</v>
      </c>
    </row>
    <row r="26" spans="1:7">
      <c r="B26" s="68"/>
      <c r="C26" t="s">
        <v>193</v>
      </c>
      <c r="D26" s="125">
        <f>SUM(D23:D25)</f>
        <v>169979</v>
      </c>
    </row>
    <row r="27" spans="1:7" ht="16" customHeight="1">
      <c r="D27" s="121"/>
      <c r="E27" s="126"/>
    </row>
    <row r="28" spans="1:7">
      <c r="B28" s="68"/>
      <c r="C28" s="5" t="s">
        <v>194</v>
      </c>
      <c r="D28" s="120"/>
    </row>
    <row r="29" spans="1:7">
      <c r="B29" s="68"/>
      <c r="C29" t="s">
        <v>40</v>
      </c>
      <c r="D29" s="122">
        <v>126223</v>
      </c>
    </row>
    <row r="30" spans="1:7">
      <c r="B30" s="68"/>
      <c r="C30" t="s">
        <v>18</v>
      </c>
      <c r="D30" s="122">
        <v>20568</v>
      </c>
    </row>
    <row r="31" spans="1:7">
      <c r="B31" s="68"/>
      <c r="C31" t="s">
        <v>42</v>
      </c>
      <c r="D31" s="122">
        <v>4518</v>
      </c>
    </row>
    <row r="32" spans="1:7">
      <c r="C32" t="s">
        <v>195</v>
      </c>
      <c r="D32" s="122">
        <v>3189</v>
      </c>
    </row>
    <row r="33" spans="1:9">
      <c r="C33" t="s">
        <v>95</v>
      </c>
      <c r="D33" s="122">
        <v>6405</v>
      </c>
    </row>
    <row r="34" spans="1:9">
      <c r="C34" t="s">
        <v>0</v>
      </c>
      <c r="D34" s="123">
        <v>5329</v>
      </c>
    </row>
    <row r="35" spans="1:9">
      <c r="C35" t="s">
        <v>196</v>
      </c>
      <c r="D35" s="125">
        <f>SUM(D29:D34)</f>
        <v>166232</v>
      </c>
    </row>
    <row r="36" spans="1:9">
      <c r="D36" s="122"/>
    </row>
    <row r="37" spans="1:9" ht="16" thickBot="1">
      <c r="C37" s="5" t="s">
        <v>7</v>
      </c>
      <c r="D37" s="187">
        <f>D26-D35</f>
        <v>3747</v>
      </c>
    </row>
    <row r="38" spans="1:9" ht="16" thickTop="1">
      <c r="D38" s="122"/>
    </row>
    <row r="39" spans="1:9">
      <c r="D39" s="119"/>
    </row>
    <row r="40" spans="1:9">
      <c r="D40" s="119"/>
    </row>
    <row r="41" spans="1:9">
      <c r="A41" s="141" t="s">
        <v>281</v>
      </c>
      <c r="D41" s="119"/>
      <c r="I41" s="117"/>
    </row>
    <row r="42" spans="1:9" ht="16" thickBot="1">
      <c r="D42" s="119"/>
    </row>
    <row r="43" spans="1:9" ht="16" thickBot="1">
      <c r="A43" s="303" t="s">
        <v>257</v>
      </c>
      <c r="B43" s="304"/>
      <c r="D43" s="119"/>
    </row>
    <row r="44" spans="1:9" ht="16" thickBot="1">
      <c r="A44" s="305" t="s">
        <v>8</v>
      </c>
      <c r="B44" s="306"/>
      <c r="C44" s="5"/>
      <c r="D44" s="119"/>
    </row>
    <row r="45" spans="1:9" ht="16" thickBot="1">
      <c r="A45" s="184"/>
      <c r="B45" s="185" t="s">
        <v>72</v>
      </c>
      <c r="D45" s="119"/>
    </row>
    <row r="46" spans="1:9">
      <c r="A46" s="207" t="s">
        <v>10</v>
      </c>
      <c r="B46" s="208"/>
      <c r="D46" s="119"/>
    </row>
    <row r="47" spans="1:9">
      <c r="A47" s="209" t="s">
        <v>258</v>
      </c>
      <c r="B47" s="210"/>
      <c r="D47" s="119"/>
    </row>
    <row r="48" spans="1:9">
      <c r="A48" s="209" t="s">
        <v>52</v>
      </c>
      <c r="B48" s="211">
        <v>120000</v>
      </c>
      <c r="D48" s="119"/>
    </row>
    <row r="49" spans="1:4">
      <c r="A49" s="209" t="s">
        <v>259</v>
      </c>
      <c r="B49" s="212">
        <v>225600</v>
      </c>
      <c r="D49" s="119"/>
    </row>
    <row r="50" spans="1:4" ht="16" thickBot="1">
      <c r="A50" s="209" t="s">
        <v>18</v>
      </c>
      <c r="B50" s="211">
        <v>85000</v>
      </c>
      <c r="D50" s="119"/>
    </row>
    <row r="51" spans="1:4" ht="16" thickBot="1">
      <c r="A51" s="213" t="s">
        <v>260</v>
      </c>
      <c r="B51" s="194">
        <f>SUM(B48:B50)</f>
        <v>430600</v>
      </c>
      <c r="D51" s="119"/>
    </row>
    <row r="52" spans="1:4" ht="16" thickBot="1">
      <c r="A52" s="209"/>
      <c r="B52" s="214"/>
      <c r="D52" s="119"/>
    </row>
    <row r="53" spans="1:4" ht="16" thickBot="1">
      <c r="A53" s="213" t="s">
        <v>100</v>
      </c>
      <c r="B53" s="193">
        <v>200000</v>
      </c>
      <c r="C53" s="68"/>
    </row>
    <row r="54" spans="1:4">
      <c r="A54" s="209"/>
      <c r="B54" s="208"/>
    </row>
    <row r="55" spans="1:4">
      <c r="A55" s="209" t="s">
        <v>261</v>
      </c>
      <c r="B55" s="211">
        <v>2500000</v>
      </c>
    </row>
    <row r="56" spans="1:4" ht="16" thickBot="1">
      <c r="A56" s="209" t="s">
        <v>262</v>
      </c>
      <c r="B56" s="211">
        <v>293000</v>
      </c>
      <c r="C56" s="68"/>
    </row>
    <row r="57" spans="1:4" ht="16" thickBot="1">
      <c r="A57" s="215" t="s">
        <v>278</v>
      </c>
      <c r="B57" s="194">
        <f>SUM(B55-B56)</f>
        <v>2207000</v>
      </c>
      <c r="C57" s="68"/>
    </row>
    <row r="58" spans="1:4" ht="16" thickBot="1">
      <c r="A58" s="195" t="s">
        <v>263</v>
      </c>
      <c r="B58" s="196">
        <f>SUM(B51+B53+B57)</f>
        <v>2837600</v>
      </c>
      <c r="C58" s="5"/>
    </row>
    <row r="59" spans="1:4">
      <c r="A59" s="216"/>
      <c r="B59" s="208"/>
    </row>
    <row r="60" spans="1:4">
      <c r="A60" s="217" t="s">
        <v>264</v>
      </c>
      <c r="B60" s="210"/>
    </row>
    <row r="61" spans="1:4">
      <c r="A61" s="209" t="s">
        <v>58</v>
      </c>
      <c r="B61" s="210"/>
    </row>
    <row r="62" spans="1:4">
      <c r="A62" s="209" t="s">
        <v>124</v>
      </c>
      <c r="B62" s="218">
        <v>75200</v>
      </c>
    </row>
    <row r="63" spans="1:4">
      <c r="A63" s="209" t="s">
        <v>125</v>
      </c>
      <c r="B63" s="218">
        <v>192900</v>
      </c>
      <c r="C63" s="68"/>
    </row>
    <row r="64" spans="1:4" ht="16" thickBot="1">
      <c r="A64" s="219" t="s">
        <v>126</v>
      </c>
      <c r="B64" s="220">
        <v>180000</v>
      </c>
      <c r="C64" s="68"/>
    </row>
    <row r="65" spans="1:5" ht="16" thickBot="1">
      <c r="A65" s="195" t="s">
        <v>279</v>
      </c>
      <c r="B65" s="196">
        <f>SUM(B62:B64)</f>
        <v>448100</v>
      </c>
      <c r="C65" s="223"/>
    </row>
    <row r="66" spans="1:5" ht="16" thickBot="1">
      <c r="A66" s="221"/>
      <c r="B66" s="214"/>
      <c r="C66" s="223"/>
    </row>
    <row r="67" spans="1:5" ht="16" thickBot="1">
      <c r="A67" s="213" t="s">
        <v>265</v>
      </c>
      <c r="B67" s="197">
        <v>1700000</v>
      </c>
      <c r="C67" s="68"/>
    </row>
    <row r="68" spans="1:5" ht="16" thickBot="1">
      <c r="A68" s="209"/>
      <c r="B68" s="214"/>
      <c r="C68" s="68"/>
    </row>
    <row r="69" spans="1:5" ht="16" thickBot="1">
      <c r="A69" s="213" t="s">
        <v>266</v>
      </c>
      <c r="B69" s="197">
        <v>241400</v>
      </c>
      <c r="C69" s="68"/>
    </row>
    <row r="70" spans="1:5" ht="16" thickBot="1">
      <c r="A70" s="219" t="s">
        <v>130</v>
      </c>
      <c r="B70" s="214"/>
    </row>
    <row r="71" spans="1:5" ht="16" thickBot="1">
      <c r="A71" s="195" t="s">
        <v>97</v>
      </c>
      <c r="B71" s="196">
        <f>SUM(B65+B67+B69)</f>
        <v>2389500</v>
      </c>
      <c r="C71" s="223"/>
    </row>
    <row r="73" spans="1:5" ht="16" thickBot="1"/>
    <row r="74" spans="1:5">
      <c r="B74" s="198"/>
      <c r="C74" s="199"/>
      <c r="D74" s="199"/>
      <c r="E74" s="200"/>
    </row>
    <row r="75" spans="1:5">
      <c r="B75" s="201" t="s">
        <v>282</v>
      </c>
      <c r="C75" s="224" t="s">
        <v>77</v>
      </c>
      <c r="D75" s="206" t="s">
        <v>267</v>
      </c>
      <c r="E75" s="202"/>
    </row>
    <row r="76" spans="1:5">
      <c r="B76" s="201"/>
      <c r="C76" s="222"/>
      <c r="D76" s="225">
        <f>B71/B58</f>
        <v>0.84208486044544684</v>
      </c>
      <c r="E76" s="202"/>
    </row>
    <row r="77" spans="1:5">
      <c r="B77" s="201"/>
      <c r="E77" s="202"/>
    </row>
    <row r="78" spans="1:5">
      <c r="B78" s="201" t="s">
        <v>284</v>
      </c>
      <c r="C78" s="224" t="s">
        <v>283</v>
      </c>
      <c r="D78" s="206" t="s">
        <v>268</v>
      </c>
      <c r="E78" s="202"/>
    </row>
    <row r="79" spans="1:5">
      <c r="B79" s="201"/>
      <c r="C79" s="222"/>
      <c r="D79" s="226">
        <f>B58-B65</f>
        <v>2389500</v>
      </c>
      <c r="E79" s="202"/>
    </row>
    <row r="80" spans="1:5" ht="16" thickBot="1">
      <c r="B80" s="203"/>
      <c r="C80" s="204"/>
      <c r="D80" s="204"/>
      <c r="E80" s="205"/>
    </row>
    <row r="85" spans="5:5">
      <c r="E85" t="s">
        <v>130</v>
      </c>
    </row>
  </sheetData>
  <sortState xmlns:xlrd2="http://schemas.microsoft.com/office/spreadsheetml/2017/richdata2" ref="A8:B17">
    <sortCondition ref="A8"/>
  </sortState>
  <mergeCells count="2">
    <mergeCell ref="A43:B43"/>
    <mergeCell ref="A44:B4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1"/>
  <sheetViews>
    <sheetView workbookViewId="0"/>
  </sheetViews>
  <sheetFormatPr baseColWidth="10" defaultColWidth="11.5" defaultRowHeight="15"/>
  <cols>
    <col min="1" max="1" width="20.83203125" customWidth="1"/>
    <col min="2" max="2" width="14.33203125" bestFit="1" customWidth="1"/>
    <col min="3" max="3" width="22" customWidth="1"/>
    <col min="4" max="4" width="18.33203125" customWidth="1"/>
    <col min="5" max="5" width="14.5" bestFit="1" customWidth="1"/>
    <col min="6" max="6" width="11.6640625" bestFit="1" customWidth="1"/>
    <col min="7" max="8" width="12.6640625" bestFit="1" customWidth="1"/>
    <col min="9" max="9" width="19.5" bestFit="1" customWidth="1"/>
    <col min="10" max="10" width="12.6640625" bestFit="1" customWidth="1"/>
    <col min="11" max="11" width="13.83203125" bestFit="1" customWidth="1"/>
  </cols>
  <sheetData>
    <row r="1" spans="1:9" ht="24" thickBot="1">
      <c r="A1" s="90" t="s">
        <v>329</v>
      </c>
      <c r="F1" s="316"/>
      <c r="G1" s="317"/>
      <c r="H1" s="318"/>
      <c r="I1" s="318"/>
    </row>
    <row r="2" spans="1:9" ht="16" thickTop="1">
      <c r="A2" t="s">
        <v>182</v>
      </c>
    </row>
    <row r="3" spans="1:9">
      <c r="A3" t="s">
        <v>183</v>
      </c>
    </row>
    <row r="5" spans="1:9">
      <c r="B5" s="99" t="s">
        <v>161</v>
      </c>
    </row>
    <row r="6" spans="1:9">
      <c r="A6" t="s">
        <v>158</v>
      </c>
      <c r="B6" s="10">
        <v>2000000</v>
      </c>
    </row>
    <row r="7" spans="1:9">
      <c r="A7" t="s">
        <v>159</v>
      </c>
      <c r="B7" s="68">
        <v>5000000</v>
      </c>
      <c r="I7" s="10"/>
    </row>
    <row r="8" spans="1:9">
      <c r="A8" t="s">
        <v>160</v>
      </c>
      <c r="B8" s="68">
        <v>3000000</v>
      </c>
    </row>
    <row r="10" spans="1:9" ht="33" thickBot="1">
      <c r="A10" s="92" t="s">
        <v>164</v>
      </c>
      <c r="B10" s="93" t="s">
        <v>167</v>
      </c>
      <c r="C10" s="93" t="s">
        <v>163</v>
      </c>
      <c r="D10" s="93" t="s">
        <v>165</v>
      </c>
      <c r="E10" s="93" t="s">
        <v>166</v>
      </c>
    </row>
    <row r="12" spans="1:9">
      <c r="A12" s="94" t="s">
        <v>162</v>
      </c>
      <c r="D12" t="s">
        <v>130</v>
      </c>
    </row>
    <row r="13" spans="1:9">
      <c r="A13" t="s">
        <v>168</v>
      </c>
      <c r="C13" s="96">
        <v>10000</v>
      </c>
      <c r="D13" s="96">
        <v>2000</v>
      </c>
      <c r="E13" s="96">
        <v>1500000</v>
      </c>
      <c r="G13" s="182"/>
    </row>
    <row r="14" spans="1:9">
      <c r="A14" t="s">
        <v>169</v>
      </c>
      <c r="C14" s="68">
        <v>20000</v>
      </c>
      <c r="D14">
        <v>5000</v>
      </c>
      <c r="E14" s="68">
        <v>3000000</v>
      </c>
      <c r="G14" s="68"/>
    </row>
    <row r="15" spans="1:9" ht="16" thickBot="1">
      <c r="A15" t="s">
        <v>170</v>
      </c>
      <c r="C15" s="95">
        <v>15000</v>
      </c>
      <c r="D15" s="95">
        <v>3000</v>
      </c>
      <c r="E15" s="95">
        <v>2000000</v>
      </c>
      <c r="G15" s="182"/>
    </row>
    <row r="16" spans="1:9" ht="16" thickBot="1">
      <c r="A16" t="s">
        <v>171</v>
      </c>
      <c r="B16" s="68"/>
      <c r="C16" s="97">
        <f>SUM(C13:C15)</f>
        <v>45000</v>
      </c>
      <c r="D16" s="97">
        <f>SUM(D13:D15)</f>
        <v>10000</v>
      </c>
      <c r="E16" s="97">
        <f>SUM(E13:E15)</f>
        <v>6500000</v>
      </c>
      <c r="G16" s="181"/>
    </row>
    <row r="17" spans="1:10" ht="16" thickTop="1">
      <c r="A17" s="94" t="s">
        <v>172</v>
      </c>
    </row>
    <row r="18" spans="1:10">
      <c r="A18" t="s">
        <v>173</v>
      </c>
      <c r="B18" s="10">
        <v>30000000</v>
      </c>
      <c r="C18" s="68">
        <v>400000</v>
      </c>
      <c r="D18" s="68">
        <v>150000</v>
      </c>
      <c r="E18" s="10">
        <v>12000000</v>
      </c>
      <c r="G18" s="10"/>
    </row>
    <row r="19" spans="1:10">
      <c r="A19" s="141" t="s">
        <v>174</v>
      </c>
      <c r="B19" s="183">
        <v>4000000</v>
      </c>
      <c r="C19" s="183">
        <v>40000</v>
      </c>
      <c r="D19" s="183">
        <v>30000</v>
      </c>
      <c r="E19" s="183">
        <v>5000000</v>
      </c>
      <c r="I19" s="10"/>
    </row>
    <row r="20" spans="1:10">
      <c r="A20" t="s">
        <v>175</v>
      </c>
      <c r="B20" s="68">
        <v>6000000</v>
      </c>
      <c r="C20" s="68">
        <v>60000</v>
      </c>
      <c r="D20" s="68">
        <v>15000</v>
      </c>
      <c r="E20" s="68">
        <v>6000000</v>
      </c>
    </row>
    <row r="21" spans="1:10" ht="16" thickBot="1">
      <c r="A21" t="s">
        <v>176</v>
      </c>
      <c r="B21" s="95">
        <v>10000000</v>
      </c>
      <c r="C21" s="95">
        <v>100000</v>
      </c>
      <c r="D21" s="95">
        <v>25000</v>
      </c>
      <c r="E21" s="95">
        <v>7000000</v>
      </c>
    </row>
    <row r="22" spans="1:10" ht="16" thickBot="1">
      <c r="A22" t="s">
        <v>177</v>
      </c>
      <c r="B22" s="98">
        <f>SUM(B18:B21)</f>
        <v>50000000</v>
      </c>
      <c r="C22" s="98">
        <f>SUM(C18:C21)</f>
        <v>600000</v>
      </c>
      <c r="D22" s="98">
        <f>SUM(D18:D21)</f>
        <v>220000</v>
      </c>
      <c r="E22" s="98">
        <f>SUM(E18:E21)</f>
        <v>30000000</v>
      </c>
      <c r="G22" s="10"/>
    </row>
    <row r="23" spans="1:10" ht="16" thickBot="1">
      <c r="A23" t="s">
        <v>178</v>
      </c>
      <c r="B23" s="98">
        <f>+B22</f>
        <v>50000000</v>
      </c>
      <c r="C23" s="98">
        <f>+C16+C22</f>
        <v>645000</v>
      </c>
      <c r="D23" s="98">
        <f>+D16+D22</f>
        <v>230000</v>
      </c>
      <c r="E23" s="98">
        <f>+E16+E22</f>
        <v>36500000</v>
      </c>
    </row>
    <row r="25" spans="1:10">
      <c r="A25" t="s">
        <v>179</v>
      </c>
    </row>
    <row r="26" spans="1:10">
      <c r="A26" t="s">
        <v>180</v>
      </c>
    </row>
    <row r="27" spans="1:10">
      <c r="A27" t="s">
        <v>184</v>
      </c>
    </row>
    <row r="28" spans="1:10">
      <c r="A28" t="s">
        <v>181</v>
      </c>
      <c r="J28" s="182"/>
    </row>
    <row r="30" spans="1:10">
      <c r="A30" s="141" t="s">
        <v>249</v>
      </c>
    </row>
    <row r="31" spans="1:10" ht="16" thickBot="1">
      <c r="A31" s="180"/>
      <c r="H31" s="10"/>
    </row>
    <row r="32" spans="1:10" ht="16" thickBot="1">
      <c r="A32" s="259" t="s">
        <v>316</v>
      </c>
    </row>
    <row r="33" spans="1:11" s="247" customFormat="1">
      <c r="A33" s="5"/>
    </row>
    <row r="34" spans="1:11">
      <c r="A34" s="258" t="s">
        <v>164</v>
      </c>
      <c r="B34" s="235" t="s">
        <v>306</v>
      </c>
      <c r="C34" s="235" t="s">
        <v>307</v>
      </c>
      <c r="D34" s="235" t="s">
        <v>308</v>
      </c>
      <c r="E34" s="235" t="s">
        <v>309</v>
      </c>
    </row>
    <row r="35" spans="1:11">
      <c r="A35" s="235"/>
      <c r="B35" s="235"/>
      <c r="C35" s="235"/>
      <c r="D35" s="235"/>
      <c r="E35" s="235"/>
    </row>
    <row r="36" spans="1:11">
      <c r="A36" s="235" t="s">
        <v>304</v>
      </c>
      <c r="B36" s="241">
        <v>2000000</v>
      </c>
      <c r="C36" s="235" t="s">
        <v>310</v>
      </c>
      <c r="D36" s="242">
        <v>50000000</v>
      </c>
      <c r="E36" s="260">
        <f>B36/D36</f>
        <v>0.04</v>
      </c>
    </row>
    <row r="37" spans="1:11" ht="15" customHeight="1">
      <c r="A37" s="235" t="s">
        <v>305</v>
      </c>
      <c r="B37" s="243">
        <v>5000000</v>
      </c>
      <c r="C37" s="235" t="s">
        <v>311</v>
      </c>
      <c r="D37" s="244">
        <v>600000</v>
      </c>
      <c r="E37" s="248">
        <f>B37/D37</f>
        <v>8.3333333333333339</v>
      </c>
    </row>
    <row r="38" spans="1:11" ht="15" customHeight="1">
      <c r="A38" s="235" t="s">
        <v>255</v>
      </c>
      <c r="B38" s="242">
        <v>3000000</v>
      </c>
      <c r="C38" s="235" t="s">
        <v>189</v>
      </c>
      <c r="D38" s="244">
        <v>50000000</v>
      </c>
      <c r="E38" s="248">
        <f>B38/D38</f>
        <v>0.06</v>
      </c>
    </row>
    <row r="39" spans="1:11" ht="15" customHeight="1" thickBot="1"/>
    <row r="40" spans="1:11" s="247" customFormat="1" ht="15" customHeight="1" thickBot="1">
      <c r="A40" s="259" t="s">
        <v>317</v>
      </c>
    </row>
    <row r="41" spans="1:11" s="247" customFormat="1" ht="15" customHeight="1">
      <c r="A41" s="5"/>
    </row>
    <row r="42" spans="1:11" ht="21.75" customHeight="1">
      <c r="A42" s="312" t="s">
        <v>312</v>
      </c>
      <c r="B42" s="311"/>
      <c r="C42" s="311"/>
      <c r="D42" s="311"/>
      <c r="E42" s="311"/>
      <c r="F42" s="311"/>
      <c r="G42" s="311"/>
      <c r="H42" s="311"/>
      <c r="I42" s="311"/>
      <c r="J42" s="311"/>
      <c r="K42" s="310"/>
    </row>
    <row r="43" spans="1:11" ht="21.75" customHeight="1">
      <c r="A43" s="313"/>
      <c r="B43" s="315"/>
      <c r="C43" s="313"/>
      <c r="D43" s="314"/>
      <c r="E43" s="314"/>
      <c r="F43" s="314"/>
      <c r="G43" s="314"/>
      <c r="H43" s="314"/>
      <c r="I43" s="314"/>
      <c r="J43" s="314"/>
      <c r="K43" s="315"/>
    </row>
    <row r="44" spans="1:11" ht="21.75" customHeight="1">
      <c r="A44" s="309" t="s">
        <v>250</v>
      </c>
      <c r="B44" s="310"/>
      <c r="C44" s="309" t="s">
        <v>313</v>
      </c>
      <c r="D44" s="311"/>
      <c r="E44" s="311"/>
      <c r="F44" s="311"/>
      <c r="G44" s="311"/>
      <c r="H44" s="311"/>
      <c r="I44" s="311"/>
      <c r="J44" s="311"/>
      <c r="K44" s="310"/>
    </row>
    <row r="45" spans="1:11" ht="21.75" customHeight="1">
      <c r="A45" s="254"/>
      <c r="B45" s="255"/>
      <c r="C45" s="254"/>
      <c r="D45" s="256"/>
      <c r="E45" s="256"/>
      <c r="F45" s="256"/>
      <c r="G45" s="256"/>
      <c r="H45" s="256"/>
      <c r="I45" s="256"/>
      <c r="J45" s="256"/>
      <c r="K45" s="255"/>
    </row>
    <row r="46" spans="1:11" ht="21.75" customHeight="1">
      <c r="A46" s="307"/>
      <c r="B46" s="308"/>
      <c r="C46" s="309" t="s">
        <v>251</v>
      </c>
      <c r="D46" s="310"/>
      <c r="E46" s="309" t="s">
        <v>252</v>
      </c>
      <c r="F46" s="310"/>
      <c r="G46" s="309" t="s">
        <v>253</v>
      </c>
      <c r="H46" s="310"/>
      <c r="I46" s="309" t="s">
        <v>314</v>
      </c>
      <c r="J46" s="310"/>
      <c r="K46" s="245" t="s">
        <v>254</v>
      </c>
    </row>
    <row r="47" spans="1:11" ht="21.75" customHeight="1">
      <c r="A47" s="246" t="s">
        <v>304</v>
      </c>
      <c r="B47" s="236">
        <f>B36/D36</f>
        <v>0.04</v>
      </c>
      <c r="C47" s="244">
        <v>30000000</v>
      </c>
      <c r="D47" s="248">
        <f>C47*B47</f>
        <v>1200000</v>
      </c>
      <c r="E47" s="244">
        <v>4000000</v>
      </c>
      <c r="F47" s="248">
        <f>E47*B47</f>
        <v>160000</v>
      </c>
      <c r="G47" s="236">
        <v>6000000</v>
      </c>
      <c r="H47" s="248">
        <f>G47*B47</f>
        <v>240000</v>
      </c>
      <c r="I47" s="244">
        <v>10000000</v>
      </c>
      <c r="J47" s="248">
        <f>I47*B47</f>
        <v>400000</v>
      </c>
      <c r="K47" s="248">
        <f>SUM(D47,F47,H47,J47)</f>
        <v>2000000</v>
      </c>
    </row>
    <row r="48" spans="1:11" ht="21.75" customHeight="1">
      <c r="A48" s="246" t="s">
        <v>305</v>
      </c>
      <c r="B48" s="236">
        <f>B37/D37</f>
        <v>8.3333333333333339</v>
      </c>
      <c r="C48" s="244">
        <v>400000</v>
      </c>
      <c r="D48" s="249">
        <f>C48*B48</f>
        <v>3333333.3333333335</v>
      </c>
      <c r="E48" s="244">
        <v>40000</v>
      </c>
      <c r="F48" s="248">
        <f>E48*B48</f>
        <v>333333.33333333337</v>
      </c>
      <c r="G48" s="241">
        <v>60000</v>
      </c>
      <c r="H48" s="248">
        <f>G48*B48</f>
        <v>500000.00000000006</v>
      </c>
      <c r="I48" s="244">
        <v>100000</v>
      </c>
      <c r="J48" s="248">
        <f>I48*B48</f>
        <v>833333.33333333337</v>
      </c>
      <c r="K48" s="257">
        <f>SUM(D48,F48,H48,J48)</f>
        <v>5000000</v>
      </c>
    </row>
    <row r="49" spans="1:11" ht="21.75" customHeight="1">
      <c r="A49" s="246" t="s">
        <v>255</v>
      </c>
      <c r="B49" s="236">
        <f>B38/D38</f>
        <v>0.06</v>
      </c>
      <c r="C49" s="244">
        <v>30000000</v>
      </c>
      <c r="D49" s="249">
        <f>C49*B49</f>
        <v>1800000</v>
      </c>
      <c r="E49" s="244">
        <v>4000000</v>
      </c>
      <c r="F49" s="248">
        <f>E49*B49</f>
        <v>240000</v>
      </c>
      <c r="G49" s="236">
        <v>6000000</v>
      </c>
      <c r="H49" s="248">
        <f>G49*B49</f>
        <v>360000</v>
      </c>
      <c r="I49" s="244">
        <v>10000000</v>
      </c>
      <c r="J49" s="248">
        <f>I49*B49</f>
        <v>600000</v>
      </c>
      <c r="K49" s="257">
        <f>SUM(D49,F49,H49,J49)</f>
        <v>3000000</v>
      </c>
    </row>
    <row r="50" spans="1:11" ht="21.75" customHeight="1">
      <c r="A50" s="246"/>
      <c r="B50" s="235"/>
      <c r="C50" s="235"/>
      <c r="D50" s="235"/>
      <c r="E50" s="235"/>
      <c r="F50" s="235"/>
      <c r="G50" s="235"/>
      <c r="H50" s="235"/>
      <c r="I50" s="235"/>
      <c r="J50" s="235"/>
      <c r="K50" s="235"/>
    </row>
    <row r="51" spans="1:11" ht="21.75" customHeight="1">
      <c r="A51" s="246" t="s">
        <v>315</v>
      </c>
      <c r="B51" s="235"/>
      <c r="C51" s="235"/>
      <c r="D51" s="248">
        <f>SUM(D47:D49)</f>
        <v>6333333.333333334</v>
      </c>
      <c r="E51" s="235"/>
      <c r="F51" s="248">
        <f>SUM(F47:F49)</f>
        <v>733333.33333333337</v>
      </c>
      <c r="G51" s="235"/>
      <c r="H51" s="248">
        <f>SUM(H47:H49)</f>
        <v>1100000</v>
      </c>
      <c r="I51" s="235"/>
      <c r="J51" s="248">
        <f>SUM(J47:J49)</f>
        <v>1833333.3333333335</v>
      </c>
      <c r="K51" s="248">
        <f>SUM(K47:K49)</f>
        <v>10000000</v>
      </c>
    </row>
    <row r="52" spans="1:11">
      <c r="A52" s="250"/>
      <c r="B52" s="251"/>
      <c r="C52" s="252"/>
      <c r="D52" s="252"/>
      <c r="E52" s="252"/>
      <c r="F52" s="252"/>
      <c r="G52" s="252"/>
      <c r="H52" s="253"/>
      <c r="I52" s="250"/>
      <c r="J52" s="250"/>
      <c r="K52" s="250"/>
    </row>
    <row r="53" spans="1:11">
      <c r="A53" t="s">
        <v>130</v>
      </c>
      <c r="C53" t="s">
        <v>130</v>
      </c>
    </row>
    <row r="61" spans="1:11">
      <c r="A61" s="186"/>
    </row>
  </sheetData>
  <mergeCells count="10">
    <mergeCell ref="C44:K44"/>
    <mergeCell ref="A44:B44"/>
    <mergeCell ref="A42:K42"/>
    <mergeCell ref="C43:K43"/>
    <mergeCell ref="A43:B43"/>
    <mergeCell ref="A46:B46"/>
    <mergeCell ref="I46:J46"/>
    <mergeCell ref="G46:H46"/>
    <mergeCell ref="E46:F46"/>
    <mergeCell ref="C46:D4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8"/>
  <sheetViews>
    <sheetView tabSelected="1" zoomScale="125" zoomScaleNormal="125" zoomScalePageLayoutView="125" workbookViewId="0"/>
  </sheetViews>
  <sheetFormatPr baseColWidth="10" defaultColWidth="11.5" defaultRowHeight="15"/>
  <cols>
    <col min="1" max="1" width="22" customWidth="1"/>
    <col min="2" max="2" width="14.5" customWidth="1"/>
    <col min="3" max="3" width="39.83203125" bestFit="1" customWidth="1"/>
    <col min="4" max="4" width="14.1640625" bestFit="1" customWidth="1"/>
  </cols>
  <sheetData>
    <row r="1" spans="1:6" ht="18" thickBot="1">
      <c r="A1" s="90" t="s">
        <v>338</v>
      </c>
      <c r="C1" s="317"/>
      <c r="D1" s="317"/>
      <c r="E1" s="317"/>
      <c r="F1" s="317"/>
    </row>
    <row r="2" spans="1:6" ht="16" thickTop="1"/>
    <row r="3" spans="1:6">
      <c r="A3" t="s">
        <v>201</v>
      </c>
    </row>
    <row r="4" spans="1:6">
      <c r="A4" t="s">
        <v>138</v>
      </c>
    </row>
    <row r="5" spans="1:6">
      <c r="A5" t="s">
        <v>139</v>
      </c>
    </row>
    <row r="6" spans="1:6">
      <c r="A6" t="s">
        <v>203</v>
      </c>
    </row>
    <row r="7" spans="1:6">
      <c r="A7" t="s">
        <v>140</v>
      </c>
    </row>
    <row r="8" spans="1:6">
      <c r="A8" t="s">
        <v>204</v>
      </c>
    </row>
    <row r="10" spans="1:6">
      <c r="A10" t="s">
        <v>142</v>
      </c>
    </row>
    <row r="11" spans="1:6">
      <c r="A11" t="s">
        <v>141</v>
      </c>
      <c r="B11" s="68">
        <v>400000</v>
      </c>
    </row>
    <row r="12" spans="1:6">
      <c r="A12" t="s">
        <v>134</v>
      </c>
      <c r="B12" s="68">
        <v>220000</v>
      </c>
    </row>
    <row r="13" spans="1:6">
      <c r="A13" t="s">
        <v>135</v>
      </c>
      <c r="B13" s="68">
        <v>5000</v>
      </c>
    </row>
    <row r="14" spans="1:6">
      <c r="A14" t="s">
        <v>95</v>
      </c>
      <c r="B14" s="68">
        <v>30000</v>
      </c>
    </row>
    <row r="15" spans="1:6">
      <c r="A15" t="s">
        <v>136</v>
      </c>
      <c r="B15" s="68">
        <v>2500</v>
      </c>
    </row>
    <row r="16" spans="1:6">
      <c r="A16" t="s">
        <v>41</v>
      </c>
      <c r="B16" s="68">
        <v>50000</v>
      </c>
    </row>
    <row r="17" spans="1:6">
      <c r="A17" t="s">
        <v>137</v>
      </c>
      <c r="B17" s="68">
        <v>10000</v>
      </c>
    </row>
    <row r="19" spans="1:6" ht="16">
      <c r="A19" s="162" t="s">
        <v>208</v>
      </c>
    </row>
    <row r="22" spans="1:6" ht="16">
      <c r="B22" s="161" t="s">
        <v>209</v>
      </c>
      <c r="E22" s="151" t="s">
        <v>210</v>
      </c>
    </row>
    <row r="23" spans="1:6" ht="16">
      <c r="C23" s="159" t="s">
        <v>1</v>
      </c>
      <c r="D23" s="160">
        <v>400000</v>
      </c>
      <c r="E23" s="160">
        <f>+D23/10000</f>
        <v>40</v>
      </c>
      <c r="F23" s="151" t="s">
        <v>211</v>
      </c>
    </row>
    <row r="24" spans="1:6" ht="16">
      <c r="C24" s="159" t="s">
        <v>212</v>
      </c>
      <c r="D24" s="160">
        <v>60000</v>
      </c>
      <c r="E24" s="160">
        <f>+D24/10000</f>
        <v>6</v>
      </c>
      <c r="F24" s="151" t="s">
        <v>213</v>
      </c>
    </row>
    <row r="25" spans="1:6" ht="16">
      <c r="C25" s="159" t="s">
        <v>214</v>
      </c>
      <c r="D25" s="160">
        <f>+D23-D24</f>
        <v>340000</v>
      </c>
      <c r="E25" s="160">
        <f>+D25/10000</f>
        <v>34</v>
      </c>
      <c r="F25" s="151" t="s">
        <v>215</v>
      </c>
    </row>
    <row r="26" spans="1:6" ht="16">
      <c r="C26" s="159" t="s">
        <v>216</v>
      </c>
      <c r="D26" s="160">
        <v>257500</v>
      </c>
      <c r="E26" s="159"/>
      <c r="F26" s="151" t="s">
        <v>217</v>
      </c>
    </row>
    <row r="27" spans="1:6" ht="16">
      <c r="C27" s="159" t="s">
        <v>218</v>
      </c>
      <c r="D27" s="160">
        <f>+D25-D26</f>
        <v>82500</v>
      </c>
      <c r="E27" s="159"/>
      <c r="F27" s="151" t="s">
        <v>219</v>
      </c>
    </row>
    <row r="28" spans="1:6" ht="16">
      <c r="C28" s="159" t="s">
        <v>220</v>
      </c>
      <c r="D28" s="160">
        <f>+D27*0.3</f>
        <v>24750</v>
      </c>
      <c r="E28" s="159"/>
      <c r="F28" s="151" t="s">
        <v>221</v>
      </c>
    </row>
    <row r="29" spans="1:6" ht="16">
      <c r="C29" s="159" t="s">
        <v>222</v>
      </c>
      <c r="D29" s="160">
        <f>+D27-D28</f>
        <v>57750</v>
      </c>
      <c r="E29" s="159"/>
    </row>
    <row r="30" spans="1:6" ht="16">
      <c r="C30" s="151"/>
      <c r="D30" s="151"/>
      <c r="E30" s="151"/>
    </row>
    <row r="32" spans="1:6" ht="16">
      <c r="B32" s="161" t="s">
        <v>223</v>
      </c>
    </row>
    <row r="33" spans="2:6" ht="16">
      <c r="C33" s="155" t="s">
        <v>224</v>
      </c>
      <c r="D33" s="156">
        <f>+D26/E25</f>
        <v>7573.5294117647063</v>
      </c>
      <c r="E33" s="151" t="s">
        <v>225</v>
      </c>
      <c r="F33" s="151" t="s">
        <v>226</v>
      </c>
    </row>
    <row r="34" spans="2:6" ht="16">
      <c r="D34" s="152"/>
    </row>
    <row r="35" spans="2:6" ht="16">
      <c r="D35" s="152"/>
    </row>
    <row r="36" spans="2:6" ht="16">
      <c r="B36" s="161" t="s">
        <v>227</v>
      </c>
    </row>
    <row r="37" spans="2:6" ht="16">
      <c r="C37" s="153" t="s">
        <v>228</v>
      </c>
      <c r="D37" s="154">
        <f>100000/0.7</f>
        <v>142857.14285714287</v>
      </c>
      <c r="F37" s="151" t="s">
        <v>229</v>
      </c>
    </row>
    <row r="38" spans="2:6" ht="16">
      <c r="C38" s="157" t="s">
        <v>230</v>
      </c>
      <c r="D38" s="158">
        <f>+(D37+D26)/E25</f>
        <v>11775.210084033613</v>
      </c>
      <c r="E38" s="151" t="s">
        <v>225</v>
      </c>
      <c r="F38" s="151" t="s">
        <v>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J94"/>
  <sheetViews>
    <sheetView zoomScale="139" workbookViewId="0"/>
  </sheetViews>
  <sheetFormatPr baseColWidth="10" defaultColWidth="8.83203125" defaultRowHeight="15"/>
  <cols>
    <col min="1" max="1" width="41.5" customWidth="1"/>
    <col min="2" max="2" width="18.6640625" customWidth="1"/>
    <col min="3" max="3" width="13.6640625" customWidth="1"/>
    <col min="4" max="4" width="9" customWidth="1"/>
    <col min="5" max="5" width="24.1640625" customWidth="1"/>
    <col min="6" max="6" width="27.1640625" customWidth="1"/>
    <col min="7" max="7" width="14.83203125" customWidth="1"/>
    <col min="10" max="10" width="18.6640625" customWidth="1"/>
  </cols>
  <sheetData>
    <row r="1" spans="1:10" s="4" customFormat="1" ht="24" thickBot="1">
      <c r="A1" s="90" t="s">
        <v>337</v>
      </c>
      <c r="C1" s="316"/>
      <c r="D1" s="316"/>
      <c r="E1" s="316"/>
      <c r="F1" s="316"/>
      <c r="G1"/>
      <c r="H1"/>
      <c r="I1"/>
      <c r="J1"/>
    </row>
    <row r="2" spans="1:10" ht="16" thickTop="1">
      <c r="A2" t="s">
        <v>143</v>
      </c>
    </row>
    <row r="3" spans="1:10">
      <c r="A3" t="s">
        <v>144</v>
      </c>
    </row>
    <row r="4" spans="1:10">
      <c r="A4" t="s">
        <v>145</v>
      </c>
    </row>
    <row r="5" spans="1:10">
      <c r="A5" s="5" t="s">
        <v>197</v>
      </c>
      <c r="B5" s="5"/>
      <c r="C5" s="5"/>
      <c r="D5" s="5"/>
    </row>
    <row r="6" spans="1:10">
      <c r="C6" t="s">
        <v>210</v>
      </c>
    </row>
    <row r="7" spans="1:10" ht="16">
      <c r="A7" s="159" t="s">
        <v>1</v>
      </c>
      <c r="B7" s="160">
        <v>400000</v>
      </c>
      <c r="C7" s="160">
        <f>+B7/10000</f>
        <v>40</v>
      </c>
    </row>
    <row r="8" spans="1:10" ht="16">
      <c r="A8" s="159" t="s">
        <v>212</v>
      </c>
      <c r="B8" s="160">
        <v>60000</v>
      </c>
      <c r="C8" s="160">
        <f>+B8/10000</f>
        <v>6</v>
      </c>
    </row>
    <row r="9" spans="1:10" ht="16">
      <c r="A9" s="159" t="s">
        <v>214</v>
      </c>
      <c r="B9" s="160">
        <f>+B7-B8</f>
        <v>340000</v>
      </c>
      <c r="C9" s="160">
        <f>+B9/10000</f>
        <v>34</v>
      </c>
    </row>
    <row r="10" spans="1:10" ht="16">
      <c r="A10" s="159" t="s">
        <v>216</v>
      </c>
      <c r="B10" s="160">
        <v>257500</v>
      </c>
      <c r="C10" s="159"/>
    </row>
    <row r="11" spans="1:10" ht="16">
      <c r="A11" s="159" t="s">
        <v>218</v>
      </c>
      <c r="B11" s="160">
        <f>+B9-B10</f>
        <v>82500</v>
      </c>
      <c r="C11" s="159"/>
    </row>
    <row r="12" spans="1:10" ht="16">
      <c r="A12" s="159" t="s">
        <v>220</v>
      </c>
      <c r="B12" s="160">
        <f>+B11*0.3</f>
        <v>24750</v>
      </c>
      <c r="C12" s="159"/>
    </row>
    <row r="13" spans="1:10" ht="16">
      <c r="A13" s="159" t="s">
        <v>222</v>
      </c>
      <c r="B13" s="160">
        <f>+B11-B12</f>
        <v>57750</v>
      </c>
      <c r="C13" s="159"/>
    </row>
    <row r="15" spans="1:10" ht="16">
      <c r="A15" s="189" t="s">
        <v>269</v>
      </c>
      <c r="B15" s="190">
        <f>(30.6*3000)+(7000*40)</f>
        <v>371800</v>
      </c>
      <c r="C15" s="160">
        <f>+B15/10000</f>
        <v>37.18</v>
      </c>
    </row>
    <row r="16" spans="1:10" ht="16">
      <c r="A16" s="159" t="s">
        <v>212</v>
      </c>
      <c r="B16" s="160">
        <v>60000</v>
      </c>
      <c r="C16" s="160">
        <f>+B16/10000</f>
        <v>6</v>
      </c>
    </row>
    <row r="17" spans="1:4" ht="16">
      <c r="A17" s="159" t="s">
        <v>214</v>
      </c>
      <c r="B17" s="160">
        <f>+B15-B16</f>
        <v>311800</v>
      </c>
      <c r="C17" s="160">
        <f>+B17/10000</f>
        <v>31.18</v>
      </c>
    </row>
    <row r="18" spans="1:4" ht="16">
      <c r="A18" s="159" t="s">
        <v>216</v>
      </c>
      <c r="B18" s="160">
        <v>257500</v>
      </c>
      <c r="C18" s="159"/>
    </row>
    <row r="19" spans="1:4" ht="16">
      <c r="A19" s="159" t="s">
        <v>218</v>
      </c>
      <c r="B19" s="160">
        <f>+B17-B18</f>
        <v>54300</v>
      </c>
      <c r="C19" s="159"/>
    </row>
    <row r="20" spans="1:4" ht="16">
      <c r="A20" s="159" t="s">
        <v>220</v>
      </c>
      <c r="B20" s="160">
        <f>+B19*0.3</f>
        <v>16290</v>
      </c>
      <c r="C20" s="159"/>
    </row>
    <row r="21" spans="1:4" ht="16">
      <c r="A21" s="159" t="s">
        <v>222</v>
      </c>
      <c r="B21" s="160">
        <f>+B19-B20</f>
        <v>38010</v>
      </c>
      <c r="C21" s="159"/>
    </row>
    <row r="23" spans="1:4" ht="16">
      <c r="A23" s="155" t="s">
        <v>224</v>
      </c>
      <c r="B23" s="156">
        <f>B18/C17</f>
        <v>8258.4990378447728</v>
      </c>
      <c r="C23" s="151" t="s">
        <v>225</v>
      </c>
      <c r="D23" s="151" t="s">
        <v>226</v>
      </c>
    </row>
    <row r="25" spans="1:4">
      <c r="A25" t="s">
        <v>270</v>
      </c>
    </row>
    <row r="93" spans="7:8">
      <c r="G93" s="9">
        <f>1200*9750</f>
        <v>11700000</v>
      </c>
      <c r="H93" s="9"/>
    </row>
    <row r="94" spans="7:8">
      <c r="G94" s="9">
        <f>960*3250</f>
        <v>3120000</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G27"/>
  <sheetViews>
    <sheetView zoomScale="107" workbookViewId="0"/>
  </sheetViews>
  <sheetFormatPr baseColWidth="10" defaultColWidth="25.5" defaultRowHeight="31"/>
  <cols>
    <col min="1" max="1" width="21.83203125" style="71" customWidth="1"/>
    <col min="2" max="2" width="16.83203125" style="71" bestFit="1" customWidth="1"/>
    <col min="3" max="4" width="15.83203125" style="71" bestFit="1" customWidth="1"/>
    <col min="5" max="5" width="17.5" style="71" bestFit="1" customWidth="1"/>
    <col min="6" max="16384" width="25.5" style="71"/>
  </cols>
  <sheetData>
    <row r="1" spans="1:7" s="70" customFormat="1" thickBot="1">
      <c r="A1" s="90" t="s">
        <v>336</v>
      </c>
      <c r="B1" s="90"/>
      <c r="C1" s="316"/>
      <c r="D1" s="316"/>
      <c r="E1" s="316"/>
      <c r="F1" s="316"/>
    </row>
    <row r="2" spans="1:7" s="74" customFormat="1" ht="20" thickTop="1"/>
    <row r="3" spans="1:7" s="73" customFormat="1" ht="19">
      <c r="A3" s="75" t="s">
        <v>74</v>
      </c>
      <c r="B3" s="75"/>
      <c r="C3" s="75"/>
      <c r="D3" s="75"/>
      <c r="E3" s="75"/>
    </row>
    <row r="4" spans="1:7" s="73" customFormat="1" ht="19"/>
    <row r="5" spans="1:7" s="73" customFormat="1" ht="19"/>
    <row r="6" spans="1:7" s="73" customFormat="1" ht="19">
      <c r="A6" s="76">
        <v>42735</v>
      </c>
      <c r="B6" s="77" t="s">
        <v>24</v>
      </c>
      <c r="C6" s="77" t="s">
        <v>25</v>
      </c>
      <c r="D6" s="77" t="s">
        <v>26</v>
      </c>
      <c r="E6" s="77" t="s">
        <v>27</v>
      </c>
    </row>
    <row r="7" spans="1:7" s="73" customFormat="1" ht="19">
      <c r="A7" s="78" t="s">
        <v>10</v>
      </c>
      <c r="B7" s="79">
        <v>16500</v>
      </c>
      <c r="C7" s="79">
        <v>48500</v>
      </c>
      <c r="D7" s="80">
        <f>SUM(D8+D9)</f>
        <v>6000</v>
      </c>
      <c r="E7" s="79">
        <v>98000</v>
      </c>
    </row>
    <row r="8" spans="1:7" s="73" customFormat="1" ht="19">
      <c r="A8" s="78" t="s">
        <v>28</v>
      </c>
      <c r="B8" s="79">
        <v>6000</v>
      </c>
      <c r="C8" s="80">
        <f>SUM(C7-C9)</f>
        <v>17500</v>
      </c>
      <c r="D8" s="79">
        <v>2000</v>
      </c>
      <c r="E8" s="80">
        <f>SUM(E7-E9)</f>
        <v>3000</v>
      </c>
    </row>
    <row r="9" spans="1:7" s="73" customFormat="1" ht="19">
      <c r="A9" s="78" t="s">
        <v>29</v>
      </c>
      <c r="B9" s="80">
        <f>SUM(B7-B8)</f>
        <v>10500</v>
      </c>
      <c r="C9" s="79">
        <v>31000</v>
      </c>
      <c r="D9" s="79">
        <v>4000</v>
      </c>
      <c r="E9" s="79">
        <v>95000</v>
      </c>
      <c r="F9" s="81"/>
      <c r="G9" s="73" t="s">
        <v>130</v>
      </c>
    </row>
    <row r="10" spans="1:7" s="73" customFormat="1" ht="19">
      <c r="A10" s="82"/>
      <c r="B10" s="83"/>
      <c r="C10" s="83"/>
      <c r="D10" s="83"/>
      <c r="E10" s="83"/>
    </row>
    <row r="11" spans="1:7" s="73" customFormat="1" ht="19">
      <c r="A11" s="76">
        <v>43100</v>
      </c>
      <c r="B11" s="84" t="s">
        <v>24</v>
      </c>
      <c r="C11" s="84" t="s">
        <v>25</v>
      </c>
      <c r="D11" s="84" t="s">
        <v>26</v>
      </c>
      <c r="E11" s="84" t="s">
        <v>27</v>
      </c>
    </row>
    <row r="12" spans="1:7" s="73" customFormat="1" ht="19">
      <c r="A12" s="85" t="s">
        <v>10</v>
      </c>
      <c r="B12" s="80">
        <f>SUM(B13+B14)</f>
        <v>36000</v>
      </c>
      <c r="C12" s="79">
        <v>42000</v>
      </c>
      <c r="D12" s="79">
        <v>10900</v>
      </c>
      <c r="E12" s="80">
        <f>SUM(E13+E14)</f>
        <v>102500</v>
      </c>
    </row>
    <row r="13" spans="1:7" s="73" customFormat="1" ht="19">
      <c r="A13" s="85" t="s">
        <v>28</v>
      </c>
      <c r="B13" s="79">
        <v>42000</v>
      </c>
      <c r="C13" s="79">
        <v>4000</v>
      </c>
      <c r="D13" s="80">
        <f>SUM(D12-D14)</f>
        <v>1900</v>
      </c>
      <c r="E13" s="79">
        <v>2500</v>
      </c>
    </row>
    <row r="14" spans="1:7" s="73" customFormat="1" ht="19">
      <c r="A14" s="85" t="s">
        <v>29</v>
      </c>
      <c r="B14" s="79">
        <v>-6000</v>
      </c>
      <c r="C14" s="80">
        <f>SUM(C12-C13)</f>
        <v>38000</v>
      </c>
      <c r="D14" s="79">
        <v>9000</v>
      </c>
      <c r="E14" s="79">
        <v>100000</v>
      </c>
    </row>
    <row r="15" spans="1:7" s="73" customFormat="1" ht="19">
      <c r="A15" s="86"/>
      <c r="B15" s="83"/>
      <c r="C15" s="83"/>
      <c r="D15" s="83"/>
      <c r="E15" s="83"/>
    </row>
    <row r="16" spans="1:7" s="73" customFormat="1" ht="19">
      <c r="A16" s="87" t="s">
        <v>110</v>
      </c>
      <c r="B16" s="88" t="s">
        <v>24</v>
      </c>
      <c r="C16" s="88" t="s">
        <v>25</v>
      </c>
      <c r="D16" s="88" t="s">
        <v>26</v>
      </c>
      <c r="E16" s="88" t="s">
        <v>27</v>
      </c>
    </row>
    <row r="17" spans="1:7" s="73" customFormat="1" ht="19">
      <c r="A17" s="85" t="s">
        <v>30</v>
      </c>
      <c r="B17" s="80">
        <f>SUM(B18+B19)</f>
        <v>-10300</v>
      </c>
      <c r="C17" s="79">
        <v>25000</v>
      </c>
      <c r="D17" s="80">
        <f>SUM(D18+D19)</f>
        <v>35000</v>
      </c>
      <c r="E17" s="79">
        <v>32000</v>
      </c>
    </row>
    <row r="18" spans="1:7" s="73" customFormat="1" ht="19">
      <c r="A18" s="85" t="s">
        <v>31</v>
      </c>
      <c r="B18" s="79">
        <v>6200</v>
      </c>
      <c r="C18" s="80">
        <f>SUM(C17-C19)</f>
        <v>18000</v>
      </c>
      <c r="D18" s="79">
        <v>30000</v>
      </c>
      <c r="E18" s="80">
        <f>SUM(E17-E19)</f>
        <v>27000</v>
      </c>
    </row>
    <row r="19" spans="1:7" s="73" customFormat="1" ht="20" thickBot="1">
      <c r="A19" s="178" t="s">
        <v>7</v>
      </c>
      <c r="B19" s="179">
        <f>SUM(B14-B9)</f>
        <v>-16500</v>
      </c>
      <c r="C19" s="179">
        <f>SUM(C14-C9)</f>
        <v>7000</v>
      </c>
      <c r="D19" s="179">
        <f>SUM(D14-D9)</f>
        <v>5000</v>
      </c>
      <c r="E19" s="179">
        <f>SUM(E14-E9)</f>
        <v>5000</v>
      </c>
    </row>
    <row r="20" spans="1:7" s="73" customFormat="1" ht="20" thickTop="1">
      <c r="B20" s="89"/>
      <c r="C20" s="89"/>
      <c r="D20" s="89"/>
      <c r="E20" s="89"/>
    </row>
    <row r="21" spans="1:7" s="73" customFormat="1" ht="20" thickBot="1">
      <c r="A21" s="176" t="s">
        <v>244</v>
      </c>
      <c r="B21" s="177">
        <v>16500</v>
      </c>
      <c r="C21" s="176">
        <v>7000</v>
      </c>
      <c r="D21" s="176">
        <v>5000</v>
      </c>
      <c r="E21" s="176">
        <v>5000</v>
      </c>
    </row>
    <row r="22" spans="1:7" ht="32" thickTop="1"/>
    <row r="23" spans="1:7" ht="57" customHeight="1">
      <c r="A23" s="281" t="s">
        <v>245</v>
      </c>
      <c r="B23" s="281"/>
      <c r="C23" s="281"/>
      <c r="D23" s="281"/>
      <c r="E23" s="281"/>
      <c r="F23" s="281"/>
      <c r="G23" s="281"/>
    </row>
    <row r="25" spans="1:7" ht="24" customHeight="1">
      <c r="A25" s="73" t="s">
        <v>246</v>
      </c>
      <c r="B25" s="73"/>
      <c r="C25" s="73"/>
    </row>
    <row r="26" spans="1:7" ht="24" customHeight="1">
      <c r="A26" s="73" t="s">
        <v>247</v>
      </c>
      <c r="B26" s="73"/>
      <c r="C26" s="73"/>
    </row>
    <row r="27" spans="1:7" ht="24" customHeight="1">
      <c r="A27" s="73" t="s">
        <v>248</v>
      </c>
      <c r="B27" s="73"/>
      <c r="C27" s="73"/>
    </row>
  </sheetData>
  <mergeCells count="1">
    <mergeCell ref="A23:G23"/>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I65"/>
  <sheetViews>
    <sheetView topLeftCell="A12" workbookViewId="0">
      <selection activeCell="D23" sqref="D23"/>
    </sheetView>
  </sheetViews>
  <sheetFormatPr baseColWidth="10" defaultColWidth="8.83203125" defaultRowHeight="15"/>
  <cols>
    <col min="1" max="1" width="35.83203125" customWidth="1"/>
    <col min="2" max="2" width="21.1640625" customWidth="1"/>
    <col min="3" max="3" width="15.6640625" bestFit="1" customWidth="1"/>
    <col min="4" max="4" width="25.33203125" customWidth="1"/>
    <col min="5" max="5" width="9.1640625" customWidth="1"/>
    <col min="9" max="9" width="9.1640625" customWidth="1"/>
    <col min="12" max="12" width="29.83203125" customWidth="1"/>
    <col min="13" max="13" width="34.83203125" customWidth="1"/>
    <col min="15" max="15" width="13.6640625" customWidth="1"/>
  </cols>
  <sheetData>
    <row r="1" spans="1:9" ht="25" thickBot="1">
      <c r="A1" s="26" t="s">
        <v>119</v>
      </c>
      <c r="B1" s="3"/>
      <c r="C1" s="3"/>
    </row>
    <row r="2" spans="1:9" s="11" customFormat="1" ht="17" thickTop="1">
      <c r="A2" s="20" t="s">
        <v>87</v>
      </c>
      <c r="B2" s="20"/>
      <c r="C2" s="20"/>
      <c r="D2" s="20"/>
      <c r="E2" s="20"/>
      <c r="F2" s="20"/>
    </row>
    <row r="3" spans="1:9" ht="17" thickBot="1">
      <c r="A3" s="20" t="s">
        <v>88</v>
      </c>
      <c r="B3" s="20"/>
      <c r="C3" s="20"/>
      <c r="D3" s="20"/>
      <c r="E3" s="20"/>
      <c r="F3" s="20"/>
      <c r="G3" s="7"/>
      <c r="H3" s="7"/>
      <c r="I3" s="7"/>
    </row>
    <row r="4" spans="1:9" s="11" customFormat="1" ht="18" thickTop="1" thickBot="1">
      <c r="A4" s="20" t="s">
        <v>89</v>
      </c>
      <c r="B4" s="20"/>
      <c r="C4" s="41">
        <v>174048</v>
      </c>
      <c r="D4" s="20"/>
      <c r="E4" s="72" t="s">
        <v>121</v>
      </c>
      <c r="F4" s="20"/>
    </row>
    <row r="5" spans="1:9" s="11" customFormat="1" ht="18" thickTop="1" thickBot="1">
      <c r="A5" s="20" t="s">
        <v>84</v>
      </c>
      <c r="B5" s="20"/>
      <c r="C5" s="41">
        <v>163842</v>
      </c>
      <c r="D5" s="20"/>
      <c r="E5" s="20"/>
      <c r="F5" s="20"/>
    </row>
    <row r="6" spans="1:9" s="11" customFormat="1" ht="18" thickTop="1" thickBot="1">
      <c r="A6" s="20" t="s">
        <v>91</v>
      </c>
      <c r="B6" s="20"/>
      <c r="C6" s="42">
        <v>0.85703430134814651</v>
      </c>
      <c r="D6" s="20"/>
      <c r="E6" s="20"/>
      <c r="F6" s="20"/>
    </row>
    <row r="7" spans="1:9" ht="18" thickTop="1" thickBot="1">
      <c r="A7" s="20" t="s">
        <v>90</v>
      </c>
      <c r="B7" s="20"/>
      <c r="C7" s="43">
        <v>1.770383837543479E-2</v>
      </c>
      <c r="D7" s="20"/>
      <c r="E7" s="20"/>
      <c r="F7" s="20"/>
      <c r="G7" s="7"/>
      <c r="H7" s="7"/>
      <c r="I7" s="7"/>
    </row>
    <row r="8" spans="1:9" ht="18" thickTop="1" thickBot="1">
      <c r="A8" s="20" t="s">
        <v>86</v>
      </c>
      <c r="B8" s="20"/>
      <c r="C8" s="43">
        <v>2.312472432992195E-2</v>
      </c>
      <c r="D8" s="20"/>
      <c r="E8" s="20"/>
      <c r="F8" s="20"/>
    </row>
    <row r="9" spans="1:9" ht="17" thickTop="1">
      <c r="A9" s="20"/>
      <c r="B9" s="20"/>
      <c r="C9" s="20"/>
      <c r="D9" s="20"/>
      <c r="E9" s="20"/>
      <c r="F9" s="20"/>
    </row>
    <row r="10" spans="1:9" ht="16">
      <c r="A10" s="282" t="s">
        <v>80</v>
      </c>
      <c r="B10" s="282"/>
      <c r="C10" s="20"/>
      <c r="D10" s="20"/>
      <c r="E10" s="20"/>
      <c r="F10" s="20"/>
    </row>
    <row r="11" spans="1:9" ht="16">
      <c r="A11" s="283" t="s">
        <v>48</v>
      </c>
      <c r="B11" s="283"/>
      <c r="C11" s="20"/>
      <c r="D11" s="20"/>
      <c r="E11" s="20"/>
      <c r="F11" s="20"/>
    </row>
    <row r="12" spans="1:9" ht="16">
      <c r="A12" s="284" t="s">
        <v>81</v>
      </c>
      <c r="B12" s="284"/>
      <c r="C12" s="20"/>
      <c r="D12" s="20"/>
      <c r="E12" s="20"/>
      <c r="F12" s="20"/>
    </row>
    <row r="13" spans="1:9" ht="16">
      <c r="A13" s="20" t="s">
        <v>37</v>
      </c>
      <c r="B13" s="32">
        <v>3163258</v>
      </c>
      <c r="C13" s="20"/>
      <c r="D13" s="20"/>
      <c r="E13" s="20"/>
      <c r="F13" s="20"/>
    </row>
    <row r="14" spans="1:9" ht="16">
      <c r="A14" s="20" t="s">
        <v>38</v>
      </c>
      <c r="B14" s="28">
        <v>123750</v>
      </c>
      <c r="C14" s="20"/>
      <c r="D14" s="20"/>
      <c r="E14" s="20"/>
      <c r="F14" s="20"/>
    </row>
    <row r="15" spans="1:9" ht="16">
      <c r="A15" s="20" t="s">
        <v>39</v>
      </c>
      <c r="B15" s="33">
        <f>SUM(B13:B14)</f>
        <v>3287008</v>
      </c>
      <c r="C15" s="20"/>
      <c r="D15" s="20"/>
      <c r="E15" s="20"/>
      <c r="F15" s="20"/>
    </row>
    <row r="16" spans="1:9" ht="19" customHeight="1">
      <c r="A16" s="20"/>
      <c r="B16" s="20"/>
      <c r="C16" s="20"/>
      <c r="D16" s="20"/>
      <c r="E16" s="20"/>
      <c r="F16" s="20"/>
    </row>
    <row r="17" spans="1:6" ht="16">
      <c r="A17" s="20" t="s">
        <v>6</v>
      </c>
      <c r="B17" s="20"/>
      <c r="C17" s="20"/>
      <c r="D17" s="20"/>
      <c r="E17" s="20"/>
      <c r="F17" s="20"/>
    </row>
    <row r="18" spans="1:6" ht="17" thickBot="1">
      <c r="A18" s="20" t="s">
        <v>40</v>
      </c>
      <c r="B18" s="32">
        <v>1515438</v>
      </c>
      <c r="C18" s="20"/>
      <c r="D18" s="20"/>
      <c r="E18" s="20"/>
      <c r="F18" s="20"/>
    </row>
    <row r="19" spans="1:6" ht="16">
      <c r="A19" s="20" t="s">
        <v>41</v>
      </c>
      <c r="B19" s="32">
        <v>966781</v>
      </c>
      <c r="C19" s="20"/>
      <c r="D19" s="37" t="s">
        <v>83</v>
      </c>
      <c r="E19" s="20"/>
      <c r="F19" s="20"/>
    </row>
    <row r="20" spans="1:6" ht="17" thickBot="1">
      <c r="A20" s="20" t="s">
        <v>42</v>
      </c>
      <c r="B20" s="32">
        <v>296357</v>
      </c>
      <c r="C20" s="20"/>
      <c r="D20" s="38">
        <f>SUM(B25+B22)</f>
        <v>191652</v>
      </c>
      <c r="E20" s="20"/>
      <c r="F20" s="20"/>
    </row>
    <row r="21" spans="1:6" ht="17" thickBot="1">
      <c r="A21" s="20" t="s">
        <v>43</v>
      </c>
      <c r="B21" s="32">
        <v>110000</v>
      </c>
      <c r="C21" s="20"/>
      <c r="D21" s="20"/>
      <c r="E21" s="20"/>
      <c r="F21" s="20"/>
    </row>
    <row r="22" spans="1:6" ht="16">
      <c r="A22" s="20" t="s">
        <v>95</v>
      </c>
      <c r="B22" s="32">
        <v>85000</v>
      </c>
      <c r="C22" s="20"/>
      <c r="D22" s="37" t="s">
        <v>76</v>
      </c>
      <c r="E22" s="20"/>
      <c r="F22" s="20"/>
    </row>
    <row r="23" spans="1:6" ht="17" thickBot="1">
      <c r="A23" s="20" t="s">
        <v>0</v>
      </c>
      <c r="B23" s="32">
        <v>206780</v>
      </c>
      <c r="C23" s="20"/>
      <c r="D23" s="38">
        <f>SUM(B40-B52)</f>
        <v>163842</v>
      </c>
      <c r="E23" s="20"/>
      <c r="F23" s="20"/>
    </row>
    <row r="24" spans="1:6" ht="17" thickBot="1">
      <c r="A24" s="20" t="s">
        <v>31</v>
      </c>
      <c r="B24" s="33">
        <f>SUM(B18:B23)</f>
        <v>3180356</v>
      </c>
      <c r="C24" s="20"/>
      <c r="D24" s="20"/>
      <c r="E24" s="20"/>
      <c r="F24" s="20"/>
    </row>
    <row r="25" spans="1:6" ht="16">
      <c r="A25" s="20" t="s">
        <v>44</v>
      </c>
      <c r="B25" s="29">
        <f>SUM(B15-B24)</f>
        <v>106652</v>
      </c>
      <c r="C25" s="21"/>
      <c r="D25" s="37" t="s">
        <v>77</v>
      </c>
      <c r="E25" s="20"/>
      <c r="F25" s="20"/>
    </row>
    <row r="26" spans="1:6" ht="17" thickBot="1">
      <c r="A26" s="20" t="s">
        <v>45</v>
      </c>
      <c r="B26" s="28">
        <v>31167</v>
      </c>
      <c r="C26" s="20"/>
      <c r="D26" s="39">
        <f>SUM(B54/B44)</f>
        <v>0.85703430134814651</v>
      </c>
      <c r="E26" s="20"/>
      <c r="F26" s="20"/>
    </row>
    <row r="27" spans="1:6" ht="17" thickBot="1">
      <c r="A27" s="20" t="s">
        <v>46</v>
      </c>
      <c r="B27" s="30">
        <f>SUM(B25-B26)</f>
        <v>75485</v>
      </c>
      <c r="C27" s="20"/>
      <c r="D27" s="20"/>
      <c r="E27" s="20"/>
      <c r="F27" s="20"/>
    </row>
    <row r="28" spans="1:6" ht="16">
      <c r="A28" s="20"/>
      <c r="B28" s="22"/>
      <c r="C28" s="20"/>
      <c r="D28" s="37" t="s">
        <v>78</v>
      </c>
      <c r="E28" s="20"/>
      <c r="F28" s="20"/>
    </row>
    <row r="29" spans="1:6" ht="17" thickBot="1">
      <c r="A29" s="20" t="s">
        <v>50</v>
      </c>
      <c r="B29" s="28">
        <v>199961</v>
      </c>
      <c r="C29" s="20"/>
      <c r="D29" s="40">
        <f>SUM(B27/B15)</f>
        <v>2.2964653569446745E-2</v>
      </c>
      <c r="E29" s="20"/>
      <c r="F29" s="20"/>
    </row>
    <row r="30" spans="1:6" ht="17" thickBot="1">
      <c r="A30" s="20" t="s">
        <v>49</v>
      </c>
      <c r="B30" s="31">
        <f>SUM(B29+B27)</f>
        <v>275446</v>
      </c>
      <c r="C30" s="12" t="s">
        <v>85</v>
      </c>
      <c r="D30" s="20"/>
      <c r="E30" s="20"/>
      <c r="F30" s="20"/>
    </row>
    <row r="31" spans="1:6" ht="17" thickTop="1">
      <c r="A31" s="20"/>
      <c r="B31" s="20"/>
      <c r="C31" s="20"/>
      <c r="D31" s="37" t="s">
        <v>79</v>
      </c>
      <c r="E31" s="20"/>
      <c r="F31" s="20"/>
    </row>
    <row r="32" spans="1:6" ht="17" thickBot="1">
      <c r="A32" s="285" t="s">
        <v>80</v>
      </c>
      <c r="B32" s="285"/>
      <c r="C32" s="20"/>
      <c r="D32" s="40">
        <f>SUM(B27/B44)</f>
        <v>3.0157907016882195E-2</v>
      </c>
      <c r="E32" s="20"/>
      <c r="F32" s="20"/>
    </row>
    <row r="33" spans="1:6" ht="16">
      <c r="A33" s="286" t="s">
        <v>82</v>
      </c>
      <c r="B33" s="286"/>
      <c r="C33" s="20"/>
      <c r="D33" s="20"/>
      <c r="E33" s="20"/>
      <c r="F33" s="20"/>
    </row>
    <row r="34" spans="1:6" ht="16">
      <c r="A34" s="20" t="s">
        <v>10</v>
      </c>
      <c r="B34" s="20"/>
      <c r="C34" s="20"/>
      <c r="D34" s="20"/>
      <c r="E34" s="20"/>
      <c r="F34" s="20"/>
    </row>
    <row r="35" spans="1:6" ht="16">
      <c r="A35" s="20" t="s">
        <v>51</v>
      </c>
      <c r="B35" s="20"/>
      <c r="C35" s="20"/>
      <c r="D35" s="20"/>
      <c r="E35" s="20"/>
      <c r="F35" s="20"/>
    </row>
    <row r="36" spans="1:6" ht="16">
      <c r="A36" s="20" t="s">
        <v>52</v>
      </c>
      <c r="B36" s="32">
        <v>105737</v>
      </c>
      <c r="C36" s="20"/>
      <c r="D36" s="20"/>
      <c r="E36" s="20"/>
      <c r="F36" s="20"/>
    </row>
    <row r="37" spans="1:6" ht="16">
      <c r="A37" s="20" t="s">
        <v>53</v>
      </c>
      <c r="B37" s="32">
        <v>200000</v>
      </c>
      <c r="C37" s="20"/>
      <c r="D37" s="20"/>
      <c r="E37" s="20"/>
      <c r="F37" s="20"/>
    </row>
    <row r="38" spans="1:6" ht="16">
      <c r="A38" s="20" t="s">
        <v>54</v>
      </c>
      <c r="B38" s="32">
        <v>215600</v>
      </c>
      <c r="C38" s="20"/>
      <c r="D38" s="20"/>
      <c r="E38" s="20"/>
      <c r="F38" s="20"/>
    </row>
    <row r="39" spans="1:6" ht="16">
      <c r="A39" s="20" t="s">
        <v>18</v>
      </c>
      <c r="B39" s="28">
        <v>87655</v>
      </c>
      <c r="C39" s="20"/>
      <c r="D39" s="20"/>
      <c r="E39" s="20"/>
      <c r="F39" s="20"/>
    </row>
    <row r="40" spans="1:6" ht="16">
      <c r="A40" s="20" t="s">
        <v>55</v>
      </c>
      <c r="B40" s="33">
        <f>SUM(B36:B39)</f>
        <v>608992</v>
      </c>
      <c r="C40" s="20"/>
      <c r="D40" s="20"/>
      <c r="E40" s="20"/>
      <c r="F40" s="20"/>
    </row>
    <row r="41" spans="1:6" ht="16">
      <c r="A41" s="20" t="s">
        <v>96</v>
      </c>
      <c r="B41" s="32">
        <v>2250000</v>
      </c>
      <c r="C41" s="20"/>
      <c r="D41" s="20"/>
      <c r="E41" s="20"/>
      <c r="F41" s="20"/>
    </row>
    <row r="42" spans="1:6" ht="16">
      <c r="A42" s="20" t="s">
        <v>56</v>
      </c>
      <c r="B42" s="28">
        <v>356000</v>
      </c>
      <c r="C42" s="20"/>
      <c r="D42" s="20"/>
      <c r="E42" s="20"/>
      <c r="F42" s="20"/>
    </row>
    <row r="43" spans="1:6" ht="16">
      <c r="A43" s="20" t="s">
        <v>9</v>
      </c>
      <c r="B43" s="33">
        <f>SUM(B41-B42)</f>
        <v>1894000</v>
      </c>
      <c r="C43" s="20"/>
      <c r="D43" s="20"/>
      <c r="E43" s="20"/>
      <c r="F43" s="20"/>
    </row>
    <row r="44" spans="1:6" ht="17" thickBot="1">
      <c r="A44" s="20" t="s">
        <v>57</v>
      </c>
      <c r="B44" s="31">
        <f>SUM(B40+B43)</f>
        <v>2502992</v>
      </c>
      <c r="C44" s="20"/>
      <c r="D44" s="20"/>
      <c r="E44" s="20"/>
      <c r="F44" s="20"/>
    </row>
    <row r="45" spans="1:6" ht="17" thickTop="1">
      <c r="A45" s="20"/>
      <c r="B45" s="20"/>
      <c r="C45" s="20"/>
      <c r="D45" s="20"/>
      <c r="E45" s="20"/>
      <c r="F45" s="20"/>
    </row>
    <row r="46" spans="1:6" ht="16">
      <c r="A46" s="20" t="s">
        <v>11</v>
      </c>
      <c r="B46" s="20"/>
      <c r="C46" s="20"/>
      <c r="D46" s="20"/>
      <c r="E46" s="20"/>
      <c r="F46" s="20"/>
    </row>
    <row r="47" spans="1:6" ht="16">
      <c r="A47" s="20" t="s">
        <v>58</v>
      </c>
      <c r="B47" s="20"/>
      <c r="C47" s="20"/>
      <c r="D47" s="20"/>
      <c r="E47" s="20"/>
      <c r="F47" s="20"/>
    </row>
    <row r="48" spans="1:6" ht="16">
      <c r="A48" s="20" t="s">
        <v>59</v>
      </c>
      <c r="B48" s="32">
        <v>72250</v>
      </c>
      <c r="C48" s="20"/>
      <c r="D48" s="20"/>
      <c r="E48" s="20"/>
      <c r="F48" s="20"/>
    </row>
    <row r="49" spans="1:6" ht="16">
      <c r="A49" s="20" t="s">
        <v>60</v>
      </c>
      <c r="B49" s="32">
        <v>192900</v>
      </c>
      <c r="C49" s="20"/>
      <c r="D49" s="20"/>
      <c r="E49" s="20"/>
      <c r="F49" s="20"/>
    </row>
    <row r="50" spans="1:6" ht="16">
      <c r="A50" s="20" t="s">
        <v>61</v>
      </c>
      <c r="B50" s="32">
        <v>100000</v>
      </c>
      <c r="C50" s="20"/>
      <c r="D50" s="20"/>
      <c r="E50" s="20"/>
      <c r="F50" s="20"/>
    </row>
    <row r="51" spans="1:6" ht="16">
      <c r="A51" s="20" t="s">
        <v>62</v>
      </c>
      <c r="B51" s="28">
        <v>80000</v>
      </c>
      <c r="C51" s="20"/>
      <c r="D51" s="20"/>
      <c r="E51" s="20"/>
      <c r="F51" s="20"/>
    </row>
    <row r="52" spans="1:6" ht="16">
      <c r="A52" s="20" t="s">
        <v>63</v>
      </c>
      <c r="B52" s="33">
        <f>SUM(B48:B51)</f>
        <v>445150</v>
      </c>
      <c r="C52" s="20"/>
      <c r="D52" s="20"/>
      <c r="E52" s="20"/>
      <c r="F52" s="20"/>
    </row>
    <row r="53" spans="1:6" ht="16">
      <c r="A53" s="20" t="s">
        <v>12</v>
      </c>
      <c r="B53" s="34">
        <v>1700000</v>
      </c>
      <c r="C53" s="20"/>
      <c r="D53" s="20"/>
      <c r="E53" s="20"/>
      <c r="F53" s="20"/>
    </row>
    <row r="54" spans="1:6" ht="16">
      <c r="A54" s="20" t="s">
        <v>97</v>
      </c>
      <c r="B54" s="32">
        <f>SUM(B52:B53)</f>
        <v>2145150</v>
      </c>
      <c r="C54" s="20"/>
      <c r="D54" s="20"/>
      <c r="E54" s="20"/>
      <c r="F54" s="20"/>
    </row>
    <row r="55" spans="1:6" ht="16">
      <c r="A55" s="20"/>
      <c r="B55" s="32"/>
      <c r="C55" s="20"/>
      <c r="D55" s="20"/>
      <c r="E55" s="20"/>
      <c r="F55" s="20"/>
    </row>
    <row r="56" spans="1:6" ht="16">
      <c r="A56" s="20" t="s">
        <v>64</v>
      </c>
      <c r="B56" s="32"/>
      <c r="C56" s="20"/>
      <c r="D56" s="20"/>
      <c r="E56" s="20"/>
      <c r="F56" s="20"/>
    </row>
    <row r="57" spans="1:6" ht="16">
      <c r="A57" s="20" t="s">
        <v>65</v>
      </c>
      <c r="B57" s="32">
        <v>100000</v>
      </c>
      <c r="C57" s="20"/>
      <c r="D57" s="20"/>
      <c r="E57" s="20"/>
      <c r="F57" s="20"/>
    </row>
    <row r="58" spans="1:6" ht="16">
      <c r="A58" s="20" t="s">
        <v>47</v>
      </c>
      <c r="B58" s="30">
        <f>SUM(B29+B27)</f>
        <v>275446</v>
      </c>
      <c r="C58" s="12" t="s">
        <v>85</v>
      </c>
      <c r="D58" s="20"/>
      <c r="E58" s="20"/>
      <c r="F58" s="20"/>
    </row>
    <row r="59" spans="1:6" ht="16">
      <c r="A59" s="20" t="s">
        <v>66</v>
      </c>
      <c r="B59" s="33">
        <f>SUM(B57:B58)</f>
        <v>375446</v>
      </c>
      <c r="C59" s="35"/>
      <c r="D59" s="20"/>
      <c r="E59" s="20"/>
      <c r="F59" s="20"/>
    </row>
    <row r="60" spans="1:6" ht="16">
      <c r="A60" s="20"/>
      <c r="B60" s="32"/>
      <c r="C60" s="20"/>
      <c r="D60" s="20"/>
      <c r="E60" s="20"/>
      <c r="F60" s="20"/>
    </row>
    <row r="61" spans="1:6" ht="16">
      <c r="A61" s="20" t="s">
        <v>67</v>
      </c>
      <c r="B61" s="32"/>
      <c r="C61" s="20"/>
      <c r="D61" s="20"/>
      <c r="E61" s="20"/>
      <c r="F61" s="20"/>
    </row>
    <row r="62" spans="1:6" ht="17" thickBot="1">
      <c r="A62" s="20" t="s">
        <v>68</v>
      </c>
      <c r="B62" s="36">
        <f>SUM(B54+B59)</f>
        <v>2520596</v>
      </c>
      <c r="C62" s="20"/>
      <c r="D62" s="20"/>
      <c r="E62" s="20"/>
      <c r="F62" s="20"/>
    </row>
    <row r="63" spans="1:6" ht="17" thickTop="1">
      <c r="A63" s="20"/>
      <c r="B63" s="20"/>
      <c r="C63" s="20"/>
      <c r="D63" s="20"/>
      <c r="E63" s="20"/>
      <c r="F63" s="20"/>
    </row>
    <row r="64" spans="1:6" ht="16">
      <c r="A64" s="20"/>
      <c r="B64" s="20"/>
      <c r="C64" s="20"/>
      <c r="D64" s="20"/>
      <c r="E64" s="20"/>
      <c r="F64" s="20"/>
    </row>
    <row r="65" spans="1:6" ht="16">
      <c r="A65" s="20"/>
      <c r="B65" s="20"/>
      <c r="C65" s="20"/>
      <c r="D65" s="20"/>
      <c r="E65" s="20"/>
      <c r="F65" s="20"/>
    </row>
  </sheetData>
  <mergeCells count="5">
    <mergeCell ref="A10:B10"/>
    <mergeCell ref="A11:B11"/>
    <mergeCell ref="A12:B12"/>
    <mergeCell ref="A32:B32"/>
    <mergeCell ref="A33:B33"/>
  </mergeCells>
  <pageMargins left="0.7" right="0.7" top="0.75" bottom="0.75" header="0.3" footer="0.3"/>
  <pageSetup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N35"/>
  <sheetViews>
    <sheetView zoomScale="92" zoomScaleNormal="100" zoomScalePageLayoutView="125" workbookViewId="0"/>
  </sheetViews>
  <sheetFormatPr baseColWidth="10" defaultColWidth="8.83203125" defaultRowHeight="14"/>
  <cols>
    <col min="1" max="1" width="20.83203125" style="102" customWidth="1"/>
    <col min="2" max="2" width="14.1640625" style="102" customWidth="1"/>
    <col min="3" max="3" width="16.1640625" style="102" customWidth="1"/>
    <col min="4" max="4" width="11.83203125" style="102" customWidth="1"/>
    <col min="5" max="5" width="12.33203125" style="102" customWidth="1"/>
    <col min="6" max="6" width="14.1640625" style="102" customWidth="1"/>
    <col min="7" max="7" width="36" style="102" customWidth="1"/>
    <col min="8" max="8" width="10.1640625" style="102" bestFit="1" customWidth="1"/>
    <col min="9" max="9" width="11.1640625" style="102" customWidth="1"/>
    <col min="10" max="10" width="8.83203125" style="102"/>
    <col min="11" max="11" width="16.1640625" style="102" customWidth="1"/>
    <col min="12" max="12" width="21.5" style="102" bestFit="1" customWidth="1"/>
    <col min="13" max="16384" width="8.83203125" style="102"/>
  </cols>
  <sheetData>
    <row r="1" spans="1:14" ht="20" thickBot="1">
      <c r="A1" s="101" t="s">
        <v>335</v>
      </c>
      <c r="C1" s="316"/>
      <c r="D1" s="316"/>
      <c r="E1" s="316"/>
      <c r="F1" s="316"/>
    </row>
    <row r="2" spans="1:14" ht="18.75" customHeight="1" thickTop="1">
      <c r="A2" s="102" t="s">
        <v>185</v>
      </c>
    </row>
    <row r="3" spans="1:14">
      <c r="A3" s="102" t="s">
        <v>151</v>
      </c>
    </row>
    <row r="4" spans="1:14">
      <c r="A4" s="102" t="s">
        <v>150</v>
      </c>
    </row>
    <row r="5" spans="1:14">
      <c r="A5" s="102" t="s">
        <v>153</v>
      </c>
    </row>
    <row r="6" spans="1:14">
      <c r="A6" s="102" t="s">
        <v>147</v>
      </c>
    </row>
    <row r="7" spans="1:14">
      <c r="A7" s="102" t="s">
        <v>148</v>
      </c>
    </row>
    <row r="9" spans="1:14">
      <c r="A9" s="288" t="s">
        <v>146</v>
      </c>
      <c r="B9" s="288"/>
      <c r="C9" s="288"/>
      <c r="D9" s="288"/>
      <c r="E9" s="288"/>
      <c r="F9" s="288"/>
      <c r="G9" s="288"/>
      <c r="H9" s="103"/>
      <c r="I9" s="103"/>
      <c r="J9" s="103"/>
      <c r="K9" s="103"/>
      <c r="L9" s="103"/>
      <c r="M9" s="103"/>
    </row>
    <row r="10" spans="1:14" s="104" customFormat="1">
      <c r="A10" s="288" t="s">
        <v>75</v>
      </c>
      <c r="B10" s="288"/>
      <c r="C10" s="288"/>
      <c r="D10" s="288"/>
      <c r="E10" s="288"/>
      <c r="F10" s="288"/>
      <c r="G10" s="288"/>
    </row>
    <row r="11" spans="1:14" ht="18.75" customHeight="1">
      <c r="A11" s="287" t="s">
        <v>13</v>
      </c>
      <c r="B11" s="287"/>
      <c r="C11" s="287"/>
      <c r="D11" s="287"/>
      <c r="E11" s="287"/>
      <c r="F11" s="287"/>
      <c r="G11" s="287"/>
      <c r="K11" s="103"/>
      <c r="L11" s="103"/>
    </row>
    <row r="12" spans="1:14" ht="54" customHeight="1" thickBot="1">
      <c r="A12" s="105"/>
      <c r="B12" s="106" t="s">
        <v>116</v>
      </c>
      <c r="C12" s="106" t="s">
        <v>115</v>
      </c>
      <c r="D12" s="106" t="s">
        <v>14</v>
      </c>
      <c r="E12" s="106" t="s">
        <v>15</v>
      </c>
      <c r="F12" s="106" t="s">
        <v>32</v>
      </c>
      <c r="G12" s="106" t="s">
        <v>22</v>
      </c>
      <c r="J12" s="103"/>
      <c r="K12" s="103"/>
      <c r="L12" s="103"/>
      <c r="M12" s="103"/>
      <c r="N12" s="103"/>
    </row>
    <row r="13" spans="1:14" ht="31" customHeight="1" thickTop="1" thickBot="1">
      <c r="A13" s="107" t="s">
        <v>16</v>
      </c>
      <c r="B13" s="127">
        <f>C13*(1-0.115)</f>
        <v>137639.625</v>
      </c>
      <c r="C13" s="127">
        <v>155525</v>
      </c>
      <c r="D13" s="128">
        <f>B13-C13</f>
        <v>-17885.375</v>
      </c>
      <c r="E13" s="129">
        <v>0.115</v>
      </c>
      <c r="F13" s="130">
        <f>B13/$B$20</f>
        <v>0.73936523343962468</v>
      </c>
      <c r="G13" s="131" t="s">
        <v>271</v>
      </c>
      <c r="H13" s="103"/>
      <c r="I13" s="103"/>
      <c r="J13" s="103"/>
      <c r="K13" s="103"/>
      <c r="L13" s="103"/>
      <c r="M13" s="103"/>
      <c r="N13" s="103"/>
    </row>
    <row r="14" spans="1:14" ht="31" customHeight="1" thickTop="1" thickBot="1">
      <c r="A14" s="108" t="s">
        <v>149</v>
      </c>
      <c r="B14" s="132">
        <f>B13*0.325</f>
        <v>44732.878125000003</v>
      </c>
      <c r="C14" s="132">
        <f>C13*0.325</f>
        <v>50545.625</v>
      </c>
      <c r="D14" s="128">
        <f t="shared" ref="D14:D15" si="0">B14-C14</f>
        <v>-5812.7468749999971</v>
      </c>
      <c r="E14" s="129">
        <f>(B14-C14)/C14</f>
        <v>-0.11499999999999994</v>
      </c>
      <c r="F14" s="130">
        <f>B14/$B$20</f>
        <v>0.24029370086787802</v>
      </c>
      <c r="G14" s="110" t="s">
        <v>272</v>
      </c>
      <c r="H14" s="103"/>
      <c r="I14" s="103"/>
      <c r="J14" s="103"/>
      <c r="K14" s="103"/>
      <c r="L14" s="103"/>
      <c r="M14" s="103"/>
      <c r="N14" s="103"/>
    </row>
    <row r="15" spans="1:14" ht="31" customHeight="1" thickTop="1" thickBot="1">
      <c r="A15" s="108" t="s">
        <v>152</v>
      </c>
      <c r="B15" s="132">
        <f>B13+B14</f>
        <v>182372.50312499999</v>
      </c>
      <c r="C15" s="132">
        <f>C13+C14</f>
        <v>206070.625</v>
      </c>
      <c r="D15" s="128">
        <f t="shared" si="0"/>
        <v>-23698.121875000012</v>
      </c>
      <c r="E15" s="129">
        <f>(B15-C15)/C15</f>
        <v>-0.11500000000000006</v>
      </c>
      <c r="F15" s="130">
        <f>B15/$B$20</f>
        <v>0.97965893430750262</v>
      </c>
      <c r="G15" s="110" t="s">
        <v>273</v>
      </c>
      <c r="H15" s="103"/>
      <c r="I15" s="103"/>
      <c r="J15" s="103"/>
      <c r="K15" s="103"/>
      <c r="L15" s="103"/>
      <c r="M15" s="103"/>
      <c r="N15" s="103"/>
    </row>
    <row r="16" spans="1:14" ht="27" customHeight="1" thickTop="1" thickBot="1">
      <c r="A16" s="109" t="s">
        <v>17</v>
      </c>
      <c r="B16" s="133"/>
      <c r="C16" s="133"/>
      <c r="D16" s="134"/>
      <c r="E16" s="135"/>
      <c r="F16" s="130"/>
      <c r="G16" s="135"/>
      <c r="H16" s="103"/>
      <c r="I16" s="103"/>
      <c r="J16" s="103"/>
      <c r="K16" s="103"/>
      <c r="L16" s="103"/>
      <c r="M16" s="103"/>
      <c r="N16" s="103"/>
    </row>
    <row r="17" spans="1:14" ht="31" customHeight="1" thickTop="1" thickBot="1">
      <c r="A17" s="110" t="s">
        <v>18</v>
      </c>
      <c r="B17" s="111">
        <f>C17*(1+0.055)</f>
        <v>3486.6760937500003</v>
      </c>
      <c r="C17" s="136">
        <f>0.02125*C13</f>
        <v>3304.9062500000005</v>
      </c>
      <c r="D17" s="136">
        <f>B17-C17</f>
        <v>181.76984374999984</v>
      </c>
      <c r="E17" s="137">
        <f>(B17-C17)/C17</f>
        <v>5.4999999999999945E-2</v>
      </c>
      <c r="F17" s="130">
        <f t="shared" ref="F17:F20" si="1">B17/$B$20</f>
        <v>1.872954161262665E-2</v>
      </c>
      <c r="G17" s="138" t="s">
        <v>274</v>
      </c>
      <c r="H17" s="103"/>
      <c r="I17" s="103"/>
      <c r="J17" s="103"/>
      <c r="K17" s="103"/>
      <c r="L17" s="103"/>
      <c r="M17" s="103"/>
      <c r="N17" s="103"/>
    </row>
    <row r="18" spans="1:14" ht="25" customHeight="1" thickTop="1" thickBot="1">
      <c r="A18" s="110" t="s">
        <v>19</v>
      </c>
      <c r="B18" s="127">
        <f>+C18+300</f>
        <v>300</v>
      </c>
      <c r="C18" s="111">
        <v>0</v>
      </c>
      <c r="D18" s="136">
        <v>300</v>
      </c>
      <c r="E18" s="192"/>
      <c r="F18" s="130">
        <f t="shared" si="1"/>
        <v>1.6115240798708031E-3</v>
      </c>
      <c r="G18" s="138" t="s">
        <v>275</v>
      </c>
      <c r="H18" s="103"/>
      <c r="I18" s="103"/>
      <c r="J18" s="103"/>
      <c r="K18" s="103"/>
      <c r="L18" s="103"/>
      <c r="M18" s="103"/>
      <c r="N18" s="103"/>
    </row>
    <row r="19" spans="1:14" ht="38" customHeight="1" thickTop="1" thickBot="1">
      <c r="A19" s="112" t="s">
        <v>20</v>
      </c>
      <c r="B19" s="111">
        <f>B17+B18</f>
        <v>3786.6760937500003</v>
      </c>
      <c r="C19" s="111">
        <f>C17+C18</f>
        <v>3304.9062500000005</v>
      </c>
      <c r="D19" s="111">
        <f>D17+D18</f>
        <v>481.76984374999984</v>
      </c>
      <c r="E19" s="137">
        <f>(B19-C19)/C19</f>
        <v>0.14577413315430651</v>
      </c>
      <c r="F19" s="130">
        <f t="shared" si="1"/>
        <v>2.0341065692497454E-2</v>
      </c>
      <c r="G19" s="138" t="s">
        <v>276</v>
      </c>
      <c r="H19" s="103"/>
      <c r="I19" s="103"/>
      <c r="J19" s="103"/>
      <c r="K19" s="103"/>
      <c r="L19" s="103"/>
      <c r="M19" s="103"/>
      <c r="N19" s="103"/>
    </row>
    <row r="20" spans="1:14" ht="27" customHeight="1" thickTop="1" thickBot="1">
      <c r="A20" s="113" t="s">
        <v>21</v>
      </c>
      <c r="B20" s="188">
        <f>B15+B19</f>
        <v>186159.17921874998</v>
      </c>
      <c r="C20" s="188">
        <f t="shared" ref="C20:D20" si="2">C15+C19</f>
        <v>209375.53125</v>
      </c>
      <c r="D20" s="188">
        <f t="shared" si="2"/>
        <v>-23216.352031250011</v>
      </c>
      <c r="E20" s="137">
        <f>(B20-C20)/C20</f>
        <v>-0.11088378805606025</v>
      </c>
      <c r="F20" s="130">
        <f t="shared" si="1"/>
        <v>1</v>
      </c>
      <c r="G20" s="138" t="s">
        <v>277</v>
      </c>
      <c r="H20" s="103"/>
      <c r="I20" s="103"/>
      <c r="J20" s="103"/>
      <c r="K20" s="103"/>
      <c r="L20" s="103"/>
      <c r="M20" s="103"/>
      <c r="N20" s="103"/>
    </row>
    <row r="21" spans="1:14" ht="15" thickTop="1">
      <c r="A21" s="103"/>
      <c r="B21" s="103"/>
      <c r="C21" s="114"/>
      <c r="D21" s="103"/>
      <c r="E21" s="103"/>
      <c r="F21" s="103"/>
      <c r="G21" s="103"/>
      <c r="H21" s="103"/>
      <c r="I21" s="103"/>
      <c r="J21" s="103"/>
      <c r="K21" s="103"/>
      <c r="L21" s="103"/>
      <c r="M21" s="103"/>
      <c r="N21" s="103"/>
    </row>
    <row r="22" spans="1:14">
      <c r="A22" s="103"/>
      <c r="B22" s="229"/>
      <c r="C22" s="115"/>
      <c r="D22" s="103"/>
      <c r="E22" s="116"/>
      <c r="F22" s="103"/>
      <c r="G22" s="103"/>
      <c r="H22" s="103"/>
      <c r="I22" s="103"/>
      <c r="J22" s="103"/>
      <c r="K22" s="103"/>
      <c r="L22" s="103"/>
      <c r="M22" s="103"/>
      <c r="N22" s="103"/>
    </row>
    <row r="23" spans="1:14">
      <c r="A23" s="288" t="s">
        <v>146</v>
      </c>
      <c r="B23" s="288"/>
      <c r="C23" s="288"/>
      <c r="D23" s="288"/>
      <c r="E23" s="288"/>
      <c r="F23" s="288"/>
      <c r="G23" s="288"/>
      <c r="H23" s="103"/>
      <c r="I23" s="103"/>
      <c r="J23" s="103"/>
      <c r="K23" s="103"/>
      <c r="L23" s="103"/>
      <c r="M23" s="103"/>
      <c r="N23" s="103"/>
    </row>
    <row r="24" spans="1:14">
      <c r="A24" s="288" t="s">
        <v>75</v>
      </c>
      <c r="B24" s="288"/>
      <c r="C24" s="288"/>
      <c r="D24" s="288"/>
      <c r="E24" s="288"/>
      <c r="F24" s="288"/>
      <c r="G24" s="288"/>
      <c r="H24" s="103"/>
      <c r="I24" s="103"/>
      <c r="J24" s="103"/>
      <c r="K24" s="103"/>
      <c r="L24" s="103"/>
      <c r="M24" s="103"/>
      <c r="N24" s="103"/>
    </row>
    <row r="25" spans="1:14">
      <c r="A25" s="287" t="s">
        <v>13</v>
      </c>
      <c r="B25" s="287"/>
      <c r="C25" s="287"/>
      <c r="D25" s="287"/>
      <c r="E25" s="287"/>
      <c r="F25" s="287"/>
      <c r="G25" s="287"/>
      <c r="H25" s="103"/>
      <c r="I25" s="103"/>
      <c r="J25" s="103"/>
      <c r="K25" s="103"/>
      <c r="L25" s="103"/>
      <c r="M25" s="103"/>
      <c r="N25" s="103"/>
    </row>
    <row r="26" spans="1:14" ht="46" thickBot="1">
      <c r="A26" s="105"/>
      <c r="B26" s="266" t="s">
        <v>116</v>
      </c>
      <c r="C26" s="266" t="s">
        <v>115</v>
      </c>
      <c r="D26" s="266" t="s">
        <v>14</v>
      </c>
      <c r="E26" s="266" t="s">
        <v>15</v>
      </c>
      <c r="F26" s="266" t="s">
        <v>32</v>
      </c>
      <c r="G26" s="266" t="s">
        <v>22</v>
      </c>
      <c r="H26" s="103"/>
      <c r="I26" s="103"/>
      <c r="J26" s="103"/>
      <c r="K26" s="103"/>
      <c r="L26" s="103"/>
      <c r="M26" s="103"/>
      <c r="N26" s="103"/>
    </row>
    <row r="27" spans="1:14" ht="16" thickTop="1" thickBot="1">
      <c r="A27" s="107" t="s">
        <v>16</v>
      </c>
      <c r="B27" s="127">
        <f>C27*(1-0.115)</f>
        <v>137639.625</v>
      </c>
      <c r="C27" s="127">
        <v>155525</v>
      </c>
      <c r="D27" s="128">
        <f>B27-C27</f>
        <v>-17885.375</v>
      </c>
      <c r="E27" s="129">
        <v>-0.115</v>
      </c>
      <c r="F27" s="130">
        <f>B27/$B$20</f>
        <v>0.73936523343962468</v>
      </c>
      <c r="G27" s="131" t="s">
        <v>325</v>
      </c>
      <c r="H27" s="103"/>
      <c r="I27" s="103"/>
      <c r="J27" s="103"/>
      <c r="K27" s="103"/>
      <c r="L27" s="103"/>
      <c r="M27" s="103"/>
      <c r="N27" s="103"/>
    </row>
    <row r="28" spans="1:14" ht="16" thickTop="1" thickBot="1">
      <c r="A28" s="108" t="s">
        <v>149</v>
      </c>
      <c r="B28" s="132">
        <f>B27*0.325</f>
        <v>44732.878125000003</v>
      </c>
      <c r="C28" s="132">
        <f>C27*0.325</f>
        <v>50545.625</v>
      </c>
      <c r="D28" s="128">
        <f t="shared" ref="D28:D29" si="3">B28-C28</f>
        <v>-5812.7468749999971</v>
      </c>
      <c r="E28" s="129">
        <f>(B28-C28)/B28</f>
        <v>-0.12994350282485867</v>
      </c>
      <c r="F28" s="130">
        <f>B28/$B$20</f>
        <v>0.24029370086787802</v>
      </c>
      <c r="G28" s="110" t="s">
        <v>326</v>
      </c>
    </row>
    <row r="29" spans="1:14" ht="16" thickTop="1" thickBot="1">
      <c r="A29" s="108" t="s">
        <v>152</v>
      </c>
      <c r="B29" s="132">
        <f>B27+B28</f>
        <v>182372.50312499999</v>
      </c>
      <c r="C29" s="132">
        <f>C27+C28</f>
        <v>206070.625</v>
      </c>
      <c r="D29" s="128">
        <f t="shared" si="3"/>
        <v>-23698.121875000012</v>
      </c>
      <c r="E29" s="267">
        <f>E27+E28</f>
        <v>-0.24494350282485866</v>
      </c>
      <c r="F29" s="130">
        <f>B29/$B$20</f>
        <v>0.97965893430750262</v>
      </c>
      <c r="G29" s="110" t="s">
        <v>327</v>
      </c>
    </row>
    <row r="30" spans="1:14" ht="16" thickTop="1" thickBot="1">
      <c r="A30" s="109" t="s">
        <v>17</v>
      </c>
      <c r="B30" s="133"/>
      <c r="C30" s="133"/>
      <c r="D30" s="134"/>
      <c r="E30" s="135"/>
      <c r="F30" s="130"/>
      <c r="G30" s="135"/>
    </row>
    <row r="31" spans="1:14" ht="16" thickTop="1" thickBot="1">
      <c r="A31" s="110" t="s">
        <v>18</v>
      </c>
      <c r="B31" s="111">
        <f>C31*(1+0.055)</f>
        <v>3486.6760937500003</v>
      </c>
      <c r="C31" s="136">
        <f>0.02125*C27</f>
        <v>3304.9062500000005</v>
      </c>
      <c r="D31" s="136">
        <f>B31-C31</f>
        <v>181.76984374999984</v>
      </c>
      <c r="E31" s="137">
        <f>(B31-C31)/B31</f>
        <v>5.2132701421800896E-2</v>
      </c>
      <c r="F31" s="130">
        <f t="shared" ref="F31:F34" si="4">B31/$B$20</f>
        <v>1.872954161262665E-2</v>
      </c>
      <c r="G31" s="138" t="s">
        <v>328</v>
      </c>
    </row>
    <row r="32" spans="1:14" ht="16" thickTop="1" thickBot="1">
      <c r="A32" s="110" t="s">
        <v>19</v>
      </c>
      <c r="B32" s="127">
        <f>+C32+300</f>
        <v>300</v>
      </c>
      <c r="C32" s="111">
        <v>0</v>
      </c>
      <c r="D32" s="136">
        <v>300</v>
      </c>
      <c r="E32" s="137">
        <f t="shared" ref="E32:E33" si="5">(B32-C32)/B32</f>
        <v>1</v>
      </c>
      <c r="F32" s="130">
        <f t="shared" si="4"/>
        <v>1.6115240798708031E-3</v>
      </c>
      <c r="G32" s="138" t="s">
        <v>275</v>
      </c>
    </row>
    <row r="33" spans="1:7" ht="32" thickTop="1" thickBot="1">
      <c r="A33" s="112" t="s">
        <v>20</v>
      </c>
      <c r="B33" s="111">
        <f>B31+B32</f>
        <v>3786.6760937500003</v>
      </c>
      <c r="C33" s="111">
        <f>C31+C32</f>
        <v>3304.9062500000005</v>
      </c>
      <c r="D33" s="111">
        <f>D31+D32</f>
        <v>481.76984374999984</v>
      </c>
      <c r="E33" s="137">
        <f t="shared" si="5"/>
        <v>0.12722763495540917</v>
      </c>
      <c r="F33" s="130">
        <f t="shared" si="4"/>
        <v>2.0341065692497454E-2</v>
      </c>
      <c r="G33" s="138" t="s">
        <v>276</v>
      </c>
    </row>
    <row r="34" spans="1:7" ht="16" thickTop="1" thickBot="1">
      <c r="A34" s="113" t="s">
        <v>21</v>
      </c>
      <c r="B34" s="188">
        <f>B29+B33</f>
        <v>186159.17921874998</v>
      </c>
      <c r="C34" s="188">
        <f t="shared" ref="C34:E34" si="6">C29+C33</f>
        <v>209375.53125</v>
      </c>
      <c r="D34" s="188">
        <f t="shared" si="6"/>
        <v>-23216.352031250011</v>
      </c>
      <c r="E34" s="268">
        <f t="shared" si="6"/>
        <v>-0.11771586786944949</v>
      </c>
      <c r="F34" s="130">
        <f t="shared" si="4"/>
        <v>1</v>
      </c>
      <c r="G34" s="138" t="s">
        <v>277</v>
      </c>
    </row>
    <row r="35" spans="1:7" ht="15" thickTop="1"/>
  </sheetData>
  <mergeCells count="6">
    <mergeCell ref="A25:G25"/>
    <mergeCell ref="A9:G9"/>
    <mergeCell ref="A10:G10"/>
    <mergeCell ref="A11:G11"/>
    <mergeCell ref="A23:G23"/>
    <mergeCell ref="A24:G2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P28"/>
  <sheetViews>
    <sheetView zoomScale="125" workbookViewId="0"/>
  </sheetViews>
  <sheetFormatPr baseColWidth="10" defaultColWidth="8.83203125" defaultRowHeight="15"/>
  <cols>
    <col min="1" max="1" width="17.6640625" customWidth="1"/>
    <col min="2" max="2" width="15.5" customWidth="1"/>
    <col min="3" max="3" width="21.5" customWidth="1"/>
    <col min="4" max="4" width="45.1640625" customWidth="1"/>
  </cols>
  <sheetData>
    <row r="1" spans="1:16" s="4" customFormat="1" ht="24" thickBot="1">
      <c r="A1" s="90" t="s">
        <v>334</v>
      </c>
      <c r="D1" s="316"/>
    </row>
    <row r="2" spans="1:16" ht="16" thickTop="1">
      <c r="E2" s="3"/>
      <c r="F2" s="3"/>
      <c r="G2" s="3"/>
      <c r="H2" s="3"/>
      <c r="I2" s="3"/>
      <c r="J2" s="3"/>
      <c r="K2" s="3"/>
      <c r="L2" s="3"/>
      <c r="M2" s="3"/>
      <c r="N2" s="3"/>
      <c r="O2" s="3"/>
      <c r="P2" s="3"/>
    </row>
    <row r="3" spans="1:16">
      <c r="A3" t="s">
        <v>117</v>
      </c>
      <c r="J3" s="68"/>
      <c r="K3" s="3"/>
      <c r="L3" s="23"/>
      <c r="M3" s="3"/>
      <c r="N3" s="3"/>
      <c r="O3" s="3"/>
      <c r="P3" s="3"/>
    </row>
    <row r="4" spans="1:16">
      <c r="A4" t="s">
        <v>205</v>
      </c>
      <c r="K4" s="3"/>
      <c r="L4" s="3"/>
      <c r="M4" s="24"/>
      <c r="N4" s="3"/>
      <c r="O4" s="3"/>
      <c r="P4" s="3"/>
    </row>
    <row r="5" spans="1:16">
      <c r="J5" s="68"/>
    </row>
    <row r="6" spans="1:16" s="5" customFormat="1">
      <c r="A6" s="5" t="s">
        <v>186</v>
      </c>
      <c r="B6" s="139"/>
      <c r="C6" s="140"/>
      <c r="D6" s="140"/>
    </row>
    <row r="7" spans="1:16">
      <c r="B7" s="1"/>
      <c r="C7" s="2"/>
      <c r="D7" s="2"/>
    </row>
    <row r="8" spans="1:16">
      <c r="B8" s="18" t="s">
        <v>72</v>
      </c>
      <c r="C8" s="19" t="s">
        <v>73</v>
      </c>
      <c r="D8" s="45" t="s">
        <v>99</v>
      </c>
    </row>
    <row r="9" spans="1:16">
      <c r="A9" s="53" t="s">
        <v>8</v>
      </c>
      <c r="B9" s="227">
        <v>30066.67</v>
      </c>
      <c r="C9" s="46" t="s">
        <v>285</v>
      </c>
      <c r="D9" s="44"/>
    </row>
    <row r="10" spans="1:16">
      <c r="B10" s="6"/>
      <c r="C10" s="2"/>
      <c r="D10" s="2"/>
    </row>
    <row r="11" spans="1:16">
      <c r="A11" s="53" t="s">
        <v>36</v>
      </c>
      <c r="B11" s="227">
        <f>(B26/B27)*3.5</f>
        <v>21933.333333333336</v>
      </c>
      <c r="C11" s="46" t="s">
        <v>286</v>
      </c>
      <c r="D11" s="44"/>
    </row>
    <row r="12" spans="1:16">
      <c r="C12" s="2"/>
      <c r="D12" s="2"/>
    </row>
    <row r="13" spans="1:16" s="5" customFormat="1">
      <c r="A13" s="5" t="s">
        <v>118</v>
      </c>
    </row>
    <row r="15" spans="1:16">
      <c r="A15" s="53" t="s">
        <v>8</v>
      </c>
      <c r="B15" s="227">
        <v>45733.33</v>
      </c>
      <c r="C15" s="46" t="s">
        <v>285</v>
      </c>
      <c r="D15" s="44"/>
    </row>
    <row r="17" spans="1:4">
      <c r="A17" s="53" t="s">
        <v>69</v>
      </c>
      <c r="B17" s="228">
        <v>6266.67</v>
      </c>
      <c r="C17" s="46" t="s">
        <v>286</v>
      </c>
      <c r="D17" s="44"/>
    </row>
    <row r="20" spans="1:4" s="5" customFormat="1" ht="19">
      <c r="A20" s="75" t="s">
        <v>198</v>
      </c>
      <c r="B20" s="75"/>
      <c r="C20" s="75"/>
      <c r="D20" s="75"/>
    </row>
    <row r="22" spans="1:4">
      <c r="A22" s="141" t="s">
        <v>256</v>
      </c>
    </row>
    <row r="23" spans="1:4">
      <c r="B23" s="68"/>
      <c r="C23" s="68"/>
    </row>
    <row r="24" spans="1:4" ht="32">
      <c r="A24" s="230" t="s">
        <v>287</v>
      </c>
      <c r="B24" s="68">
        <v>52000</v>
      </c>
      <c r="C24" s="68"/>
    </row>
    <row r="25" spans="1:4">
      <c r="A25" t="s">
        <v>288</v>
      </c>
      <c r="B25" s="10">
        <v>5000</v>
      </c>
    </row>
    <row r="26" spans="1:4">
      <c r="A26" s="141" t="s">
        <v>289</v>
      </c>
      <c r="B26" s="231">
        <f>SUM(B24-B25)</f>
        <v>47000</v>
      </c>
      <c r="C26" s="117"/>
    </row>
    <row r="27" spans="1:4">
      <c r="A27" t="s">
        <v>290</v>
      </c>
      <c r="B27" s="121">
        <v>7.5</v>
      </c>
    </row>
    <row r="28" spans="1:4" ht="32">
      <c r="A28" s="232" t="s">
        <v>291</v>
      </c>
      <c r="B28" s="141">
        <f>B26/B27</f>
        <v>6266.666666666667</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P31"/>
  <sheetViews>
    <sheetView zoomScale="120" zoomScaleNormal="120" workbookViewId="0"/>
  </sheetViews>
  <sheetFormatPr baseColWidth="10" defaultColWidth="8.83203125" defaultRowHeight="15"/>
  <cols>
    <col min="1" max="1" width="34.6640625" customWidth="1"/>
    <col min="2" max="2" width="35.5" customWidth="1"/>
    <col min="3" max="3" width="12" bestFit="1" customWidth="1"/>
    <col min="4" max="4" width="31.33203125" customWidth="1"/>
    <col min="5" max="5" width="34.83203125" bestFit="1" customWidth="1"/>
    <col min="6" max="6" width="10.1640625" bestFit="1" customWidth="1"/>
    <col min="8" max="8" width="32.6640625" bestFit="1" customWidth="1"/>
    <col min="9" max="9" width="12" bestFit="1" customWidth="1"/>
  </cols>
  <sheetData>
    <row r="1" spans="1:16" s="4" customFormat="1" ht="24" thickBot="1">
      <c r="A1" s="90" t="s">
        <v>333</v>
      </c>
      <c r="B1"/>
      <c r="C1"/>
      <c r="D1" s="316"/>
      <c r="E1" s="317"/>
      <c r="F1" s="317"/>
      <c r="G1"/>
    </row>
    <row r="2" spans="1:16" ht="16" thickTop="1"/>
    <row r="3" spans="1:16" ht="16">
      <c r="A3" s="91" t="s">
        <v>154</v>
      </c>
      <c r="B3" s="20"/>
      <c r="C3" s="20"/>
      <c r="D3" s="20"/>
      <c r="E3" s="20"/>
      <c r="F3" s="20"/>
      <c r="G3" s="20"/>
      <c r="H3" s="20"/>
      <c r="I3" s="20"/>
      <c r="J3" s="20"/>
      <c r="K3" s="20"/>
      <c r="L3" s="20"/>
      <c r="M3" s="20"/>
      <c r="N3" s="20"/>
      <c r="O3" s="20"/>
      <c r="P3" s="20"/>
    </row>
    <row r="4" spans="1:16" ht="16">
      <c r="A4" s="91" t="s">
        <v>155</v>
      </c>
      <c r="B4" s="20"/>
      <c r="C4" s="20"/>
      <c r="D4" s="20"/>
      <c r="E4" s="20"/>
      <c r="F4" s="20"/>
      <c r="G4" s="20"/>
      <c r="H4" s="20"/>
      <c r="I4" s="20"/>
      <c r="J4" s="20"/>
      <c r="K4" s="20"/>
      <c r="L4" s="20"/>
      <c r="M4" s="20"/>
      <c r="N4" s="20"/>
      <c r="O4" s="20"/>
      <c r="P4" s="20"/>
    </row>
    <row r="5" spans="1:16" ht="16">
      <c r="A5" s="20"/>
      <c r="B5" s="20"/>
      <c r="C5" s="20"/>
      <c r="D5" s="20"/>
      <c r="E5" s="20"/>
      <c r="F5" s="20"/>
      <c r="G5" s="20"/>
      <c r="H5" s="20"/>
      <c r="I5" s="20"/>
      <c r="J5" s="20"/>
      <c r="K5" s="20"/>
      <c r="L5" s="20"/>
      <c r="M5" s="20"/>
      <c r="N5" s="20"/>
      <c r="O5" s="20"/>
      <c r="P5" s="20"/>
    </row>
    <row r="6" spans="1:16" s="20" customFormat="1" ht="16">
      <c r="A6" s="12" t="s">
        <v>129</v>
      </c>
      <c r="B6" s="12"/>
      <c r="C6" s="12"/>
      <c r="E6" s="175">
        <f>C27*11.25%</f>
        <v>1743.75</v>
      </c>
    </row>
    <row r="8" spans="1:16" s="12" customFormat="1" ht="16">
      <c r="A8" s="12" t="s">
        <v>93</v>
      </c>
      <c r="E8" s="175">
        <f>SUM(E6-22.5% *E6, C27)</f>
        <v>16851.40625</v>
      </c>
    </row>
    <row r="10" spans="1:16" s="12" customFormat="1" ht="16">
      <c r="A10" s="12" t="s">
        <v>156</v>
      </c>
    </row>
    <row r="11" spans="1:16" s="12" customFormat="1" ht="16">
      <c r="A11" s="12" t="s">
        <v>157</v>
      </c>
    </row>
    <row r="12" spans="1:16" ht="16">
      <c r="A12" s="289" t="s">
        <v>242</v>
      </c>
      <c r="B12" s="290"/>
      <c r="C12" s="290"/>
      <c r="D12" s="290"/>
      <c r="E12" s="290"/>
      <c r="F12" s="290"/>
      <c r="G12" s="290"/>
      <c r="H12" s="290"/>
      <c r="I12" s="20"/>
      <c r="J12" s="20"/>
      <c r="K12" s="20"/>
      <c r="L12" s="20"/>
      <c r="M12" s="20"/>
      <c r="N12" s="20"/>
      <c r="O12" s="20"/>
      <c r="P12" s="20"/>
    </row>
    <row r="13" spans="1:16" s="12" customFormat="1" ht="16">
      <c r="A13" s="12" t="s">
        <v>94</v>
      </c>
    </row>
    <row r="14" spans="1:16" ht="16">
      <c r="A14" s="175">
        <f>(C28*100) / C30 - 100</f>
        <v>-99.99354838709678</v>
      </c>
      <c r="B14" s="141" t="s">
        <v>243</v>
      </c>
      <c r="C14" s="141"/>
      <c r="D14" s="141"/>
      <c r="E14" s="141"/>
      <c r="F14" s="141"/>
      <c r="G14" s="141"/>
      <c r="K14" s="20"/>
      <c r="L14" s="20"/>
      <c r="M14" s="20"/>
      <c r="N14" s="20"/>
      <c r="O14" s="20"/>
      <c r="P14" s="20"/>
    </row>
    <row r="15" spans="1:16" ht="16">
      <c r="K15" s="20"/>
      <c r="L15" s="20"/>
      <c r="M15" s="20"/>
      <c r="N15" s="20"/>
      <c r="O15" s="20"/>
      <c r="P15" s="20"/>
    </row>
    <row r="17" spans="1:8">
      <c r="A17" s="239" t="s">
        <v>302</v>
      </c>
      <c r="B17" s="234" t="s">
        <v>292</v>
      </c>
      <c r="C17" s="206"/>
      <c r="D17" s="191"/>
      <c r="E17" s="5"/>
    </row>
    <row r="18" spans="1:8">
      <c r="B18" s="235" t="s">
        <v>100</v>
      </c>
      <c r="C18" s="236">
        <v>15500</v>
      </c>
      <c r="D18" s="191"/>
      <c r="F18" s="182"/>
    </row>
    <row r="19" spans="1:8">
      <c r="B19" s="235" t="s">
        <v>293</v>
      </c>
      <c r="C19" s="237">
        <v>0.1125</v>
      </c>
      <c r="F19" s="2"/>
    </row>
    <row r="20" spans="1:8">
      <c r="B20" s="235" t="s">
        <v>294</v>
      </c>
      <c r="C20" s="237">
        <v>0.22500000000000001</v>
      </c>
      <c r="F20" s="240"/>
    </row>
    <row r="21" spans="1:8">
      <c r="B21" s="235" t="s">
        <v>295</v>
      </c>
      <c r="C21" s="236">
        <f>C18*C19</f>
        <v>1743.75</v>
      </c>
      <c r="F21" s="182"/>
    </row>
    <row r="22" spans="1:8">
      <c r="B22" s="235" t="s">
        <v>296</v>
      </c>
      <c r="C22" s="236">
        <f>C21*C20</f>
        <v>392.34375</v>
      </c>
      <c r="F22" s="182"/>
    </row>
    <row r="23" spans="1:8">
      <c r="B23" s="235" t="s">
        <v>297</v>
      </c>
      <c r="C23" s="236">
        <f>C21-C22</f>
        <v>1351.40625</v>
      </c>
      <c r="D23" s="182"/>
    </row>
    <row r="24" spans="1:8">
      <c r="B24" s="235" t="s">
        <v>303</v>
      </c>
      <c r="C24" s="261">
        <f>SUM(C21-C20*C21,C18)</f>
        <v>16851.40625</v>
      </c>
    </row>
    <row r="26" spans="1:8">
      <c r="A26" s="239" t="s">
        <v>241</v>
      </c>
      <c r="B26" s="233" t="s">
        <v>298</v>
      </c>
    </row>
    <row r="27" spans="1:8">
      <c r="A27" s="191"/>
      <c r="B27" s="235" t="s">
        <v>100</v>
      </c>
      <c r="C27" s="236">
        <v>15500</v>
      </c>
    </row>
    <row r="28" spans="1:8">
      <c r="B28" s="235" t="s">
        <v>293</v>
      </c>
      <c r="C28" s="237">
        <v>7.4999999999999997E-2</v>
      </c>
      <c r="H28" s="5"/>
    </row>
    <row r="29" spans="1:8">
      <c r="B29" s="235" t="s">
        <v>299</v>
      </c>
      <c r="C29" s="238">
        <v>0.22500000000000001</v>
      </c>
    </row>
    <row r="30" spans="1:8">
      <c r="B30" s="235" t="s">
        <v>301</v>
      </c>
      <c r="C30" s="236">
        <f>C27*C28</f>
        <v>1162.5</v>
      </c>
      <c r="H30" s="5"/>
    </row>
    <row r="31" spans="1:8">
      <c r="B31" s="235" t="s">
        <v>300</v>
      </c>
      <c r="C31" s="236">
        <f>SUM(C27+C30)</f>
        <v>16662.5</v>
      </c>
    </row>
  </sheetData>
  <mergeCells count="1">
    <mergeCell ref="A12:H12"/>
  </mergeCells>
  <pageMargins left="0.7" right="0.7" top="0.75" bottom="0.75" header="0.3" footer="0.3"/>
  <pageSetup orientation="portrait" horizontalDpi="4294967292" vertic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M16"/>
  <sheetViews>
    <sheetView workbookViewId="0">
      <selection activeCell="B1" sqref="B1"/>
    </sheetView>
  </sheetViews>
  <sheetFormatPr baseColWidth="10" defaultColWidth="8.83203125" defaultRowHeight="15"/>
  <cols>
    <col min="1" max="1" width="2.83203125" bestFit="1" customWidth="1"/>
    <col min="2" max="2" width="24.33203125" customWidth="1"/>
    <col min="3" max="4" width="15.5" customWidth="1"/>
    <col min="5" max="5" width="15.5" bestFit="1" customWidth="1"/>
    <col min="6" max="6" width="16.5" customWidth="1"/>
    <col min="7" max="7" width="13.5" bestFit="1" customWidth="1"/>
  </cols>
  <sheetData>
    <row r="1" spans="1:13" ht="23.25" customHeight="1" thickBot="1">
      <c r="B1" s="90" t="s">
        <v>332</v>
      </c>
      <c r="C1" s="4"/>
      <c r="D1" s="4"/>
      <c r="E1" s="4"/>
      <c r="F1" s="4"/>
      <c r="G1" s="316" t="s">
        <v>202</v>
      </c>
      <c r="H1" s="317"/>
      <c r="I1" s="318"/>
      <c r="J1" s="318"/>
      <c r="K1" s="317"/>
    </row>
    <row r="2" spans="1:13" ht="23.25" customHeight="1" thickTop="1">
      <c r="B2" s="13" t="s">
        <v>5</v>
      </c>
      <c r="C2" s="13"/>
      <c r="D2" s="13"/>
      <c r="E2" s="13"/>
      <c r="F2" s="13"/>
      <c r="G2" s="13"/>
      <c r="H2" s="13"/>
      <c r="I2" s="7"/>
      <c r="J2" s="7"/>
    </row>
    <row r="3" spans="1:13" ht="21.75" customHeight="1">
      <c r="B3" s="14"/>
      <c r="C3" s="14"/>
      <c r="D3" s="14"/>
      <c r="E3" s="14"/>
      <c r="F3" s="14"/>
      <c r="G3" s="14"/>
      <c r="H3" s="14"/>
      <c r="I3" s="8"/>
      <c r="J3" s="8"/>
      <c r="K3" s="3"/>
      <c r="L3" s="3"/>
      <c r="M3" s="3"/>
    </row>
    <row r="4" spans="1:13" ht="66">
      <c r="B4" s="51" t="s">
        <v>1</v>
      </c>
      <c r="C4" s="52" t="s">
        <v>2</v>
      </c>
      <c r="D4" s="52" t="s">
        <v>3</v>
      </c>
      <c r="E4" s="51" t="s">
        <v>4</v>
      </c>
      <c r="F4" s="51" t="s">
        <v>23</v>
      </c>
      <c r="G4" s="13"/>
      <c r="H4" s="13"/>
      <c r="I4" s="7"/>
    </row>
    <row r="5" spans="1:13" ht="21">
      <c r="A5" t="s">
        <v>33</v>
      </c>
      <c r="B5" s="47">
        <v>1525</v>
      </c>
      <c r="C5" s="47">
        <v>1100</v>
      </c>
      <c r="D5" s="48">
        <f>SUM(E5-C5)</f>
        <v>1000</v>
      </c>
      <c r="E5" s="47">
        <v>2100</v>
      </c>
      <c r="F5" s="49">
        <f>SUM(B5-E5)</f>
        <v>-575</v>
      </c>
      <c r="G5" s="118"/>
      <c r="H5" s="13"/>
      <c r="I5" s="16"/>
    </row>
    <row r="6" spans="1:13" ht="21">
      <c r="A6" t="s">
        <v>34</v>
      </c>
      <c r="B6" s="48">
        <f>SUM(F6+E6)</f>
        <v>-800</v>
      </c>
      <c r="C6" s="48">
        <f>SUM(E6-D6)</f>
        <v>350</v>
      </c>
      <c r="D6" s="47">
        <v>1150</v>
      </c>
      <c r="E6" s="47">
        <v>1500</v>
      </c>
      <c r="F6" s="50">
        <v>-2300</v>
      </c>
      <c r="G6" s="118"/>
      <c r="H6" s="13"/>
      <c r="I6" s="17"/>
    </row>
    <row r="7" spans="1:13" ht="21">
      <c r="A7" t="s">
        <v>35</v>
      </c>
      <c r="B7" s="47">
        <v>500</v>
      </c>
      <c r="C7" s="48">
        <f>SUM(E7-D7)</f>
        <v>-300</v>
      </c>
      <c r="D7" s="47">
        <v>1200</v>
      </c>
      <c r="E7" s="48">
        <f>SUM(B7-F7)</f>
        <v>900</v>
      </c>
      <c r="F7" s="50">
        <v>-400</v>
      </c>
      <c r="G7" s="13"/>
      <c r="H7" s="13"/>
      <c r="I7" s="17"/>
    </row>
    <row r="8" spans="1:13" ht="21">
      <c r="B8" s="15"/>
      <c r="C8" s="13"/>
      <c r="D8" s="13"/>
      <c r="E8" s="13"/>
      <c r="F8" s="118"/>
      <c r="G8" s="13"/>
      <c r="H8" s="13"/>
      <c r="I8" s="17"/>
    </row>
    <row r="9" spans="1:13" ht="21">
      <c r="B9" s="13"/>
      <c r="C9" s="15"/>
      <c r="D9" s="15"/>
      <c r="E9" s="13"/>
      <c r="F9" s="13"/>
      <c r="G9" s="13"/>
      <c r="H9" s="13"/>
      <c r="I9" s="17"/>
    </row>
    <row r="10" spans="1:13" ht="26">
      <c r="B10" s="25" t="s">
        <v>92</v>
      </c>
      <c r="C10" s="25"/>
      <c r="D10" s="25"/>
      <c r="E10" s="25"/>
      <c r="F10" s="25"/>
      <c r="G10" s="13"/>
      <c r="H10" s="13"/>
      <c r="I10" s="17"/>
    </row>
    <row r="11" spans="1:13" ht="22" thickBot="1">
      <c r="B11" s="13"/>
      <c r="C11" s="13"/>
      <c r="D11" s="13"/>
      <c r="E11" s="15"/>
      <c r="F11" s="13"/>
      <c r="G11" s="13"/>
      <c r="H11" s="13"/>
      <c r="I11" s="17"/>
    </row>
    <row r="12" spans="1:13" ht="21">
      <c r="B12" s="291" t="s">
        <v>232</v>
      </c>
      <c r="C12" s="292"/>
      <c r="D12" s="293"/>
      <c r="E12" s="13"/>
      <c r="F12" s="13"/>
      <c r="G12" s="13"/>
      <c r="H12" s="13"/>
      <c r="I12" s="17"/>
    </row>
    <row r="13" spans="1:13">
      <c r="B13" s="294" t="s">
        <v>233</v>
      </c>
      <c r="C13" s="295"/>
      <c r="D13" s="296"/>
    </row>
    <row r="14" spans="1:13">
      <c r="B14" s="294" t="s">
        <v>234</v>
      </c>
      <c r="C14" s="295"/>
      <c r="D14" s="296"/>
    </row>
    <row r="15" spans="1:13">
      <c r="B15" s="297" t="s">
        <v>235</v>
      </c>
      <c r="C15" s="298"/>
      <c r="D15" s="299"/>
    </row>
    <row r="16" spans="1:13" ht="16" thickBot="1">
      <c r="B16" s="300" t="s">
        <v>236</v>
      </c>
      <c r="C16" s="301"/>
      <c r="D16" s="302"/>
    </row>
  </sheetData>
  <mergeCells count="5">
    <mergeCell ref="B12:D12"/>
    <mergeCell ref="B13:D13"/>
    <mergeCell ref="B14:D14"/>
    <mergeCell ref="B15:D15"/>
    <mergeCell ref="B16:D16"/>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DIRECTIONS PLEASE READ FIRST</vt:lpstr>
      <vt:lpstr>Problem #1</vt:lpstr>
      <vt:lpstr>Problem #2</vt:lpstr>
      <vt:lpstr>Problem #3</vt:lpstr>
      <vt:lpstr>3</vt:lpstr>
      <vt:lpstr>Problem #4</vt:lpstr>
      <vt:lpstr>Problem #5</vt:lpstr>
      <vt:lpstr>Problem #6</vt:lpstr>
      <vt:lpstr>Problem #7</vt:lpstr>
      <vt:lpstr> Problem #8</vt:lpstr>
      <vt:lpstr>Problem #9</vt:lpstr>
      <vt:lpstr>Problem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Levine</dc:creator>
  <cp:lastModifiedBy>Microsoft Office User</cp:lastModifiedBy>
  <cp:lastPrinted>2017-03-21T21:18:07Z</cp:lastPrinted>
  <dcterms:created xsi:type="dcterms:W3CDTF">2009-03-12T20:56:24Z</dcterms:created>
  <dcterms:modified xsi:type="dcterms:W3CDTF">2019-04-02T18:19:02Z</dcterms:modified>
</cp:coreProperties>
</file>